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png" ContentType="image/png"/>
  <Default Extension="rels" ContentType="application/vnd.openxmlformats-package.relationships+xml"/>
  <Default Extension="ti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embeddings/oleObject1.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https://hydrointernational-my.sharepoint.com/personal/ptaylor_hydro-int_com/Documents/1Hydro/Projects/Sizing Software/Dryscreen/"/>
    </mc:Choice>
  </mc:AlternateContent>
  <xr:revisionPtr revIDLastSave="3" documentId="8_{B67D42AC-2D24-443C-A89E-ED1DF22217E5}" xr6:coauthVersionLast="47" xr6:coauthVersionMax="47" xr10:uidLastSave="{AA341C9E-26FE-4045-8FFE-A4CCCF710AE7}"/>
  <workbookProtection workbookAlgorithmName="SHA-512" workbookHashValue="5QoEpGENtVHkJvDAdlYEBj3XaMjTwNcphk6zbmERuTErDRnPGpH2HdBb8sbQa//C028Ks8quetT5rUcw7ZpOtw==" workbookSaltValue="rU8lksLlBTZHUdnzc+p3JQ==" workbookSpinCount="100000" lockStructure="1"/>
  <bookViews>
    <workbookView xWindow="-120" yWindow="-120" windowWidth="29040" windowHeight="15960" firstSheet="1" activeTab="1" xr2:uid="{26A6F6DA-6086-47D0-B5E2-85AA541202BB}"/>
  </bookViews>
  <sheets>
    <sheet name="ReadMe" sheetId="38" state="hidden" r:id="rId1"/>
    <sheet name="Project" sheetId="3" r:id="rId2"/>
    <sheet name="TBD" sheetId="50" state="hidden" r:id="rId3"/>
    <sheet name="WQFCalc" sheetId="34" state="hidden" r:id="rId4"/>
    <sheet name="Specification" sheetId="33" r:id="rId5"/>
    <sheet name="Links" sheetId="44" r:id="rId6"/>
    <sheet name="UserManual" sheetId="48" r:id="rId7"/>
    <sheet name="FUTURE UPDATE TASKS" sheetId="45" state="hidden" r:id="rId8"/>
  </sheets>
  <definedNames>
    <definedName name="Model">WQFCalc!$L$6:$L$10</definedName>
    <definedName name="_xlnm.Print_Area" localSheetId="1">Project!$A$1:$L$94</definedName>
    <definedName name="ProductList">WQFCalc!$L$6:$L$11</definedName>
    <definedName name="PSD">WQFCalc!$J$6:$J$11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3" i="34" l="1"/>
  <c r="I72" i="34"/>
  <c r="I71" i="34"/>
  <c r="I69" i="34"/>
  <c r="I70" i="34"/>
  <c r="K16" i="3" l="1"/>
  <c r="D32" i="3"/>
  <c r="X13" i="34" l="1"/>
  <c r="X11" i="34" l="1"/>
  <c r="Q32" i="34" s="1"/>
  <c r="B57" i="34" l="1"/>
  <c r="B58" i="34"/>
  <c r="AE68" i="34"/>
  <c r="AF68" i="34" s="1"/>
  <c r="AG68" i="34" s="1"/>
  <c r="AG69" i="34" l="1"/>
  <c r="AG70" i="34" s="1"/>
  <c r="C42" i="3" s="1"/>
  <c r="B34" i="34"/>
  <c r="T69" i="34" l="1"/>
  <c r="T70" i="34"/>
  <c r="T71" i="34"/>
  <c r="T72" i="34"/>
  <c r="T73" i="34"/>
  <c r="P70" i="34"/>
  <c r="P71" i="34"/>
  <c r="P72" i="34"/>
  <c r="P73" i="34"/>
  <c r="P69" i="34"/>
  <c r="M69" i="34"/>
  <c r="D69" i="34" s="1"/>
  <c r="M70" i="34"/>
  <c r="D70" i="34" s="1"/>
  <c r="M71" i="34"/>
  <c r="D71" i="34" s="1"/>
  <c r="M72" i="34"/>
  <c r="D72" i="34" s="1"/>
  <c r="M73" i="34"/>
  <c r="D73" i="34" s="1"/>
  <c r="N73" i="34" l="1"/>
  <c r="N69" i="34"/>
  <c r="N72" i="34"/>
  <c r="N70" i="34"/>
  <c r="N71" i="34"/>
  <c r="A80" i="34" l="1"/>
  <c r="A81" i="34"/>
  <c r="A82" i="34"/>
  <c r="A79" i="34"/>
  <c r="A78" i="34"/>
  <c r="I79" i="34"/>
  <c r="X79" i="34" s="1"/>
  <c r="I80" i="34"/>
  <c r="X80" i="34" s="1"/>
  <c r="I81" i="34"/>
  <c r="X81" i="34" s="1"/>
  <c r="I82" i="34"/>
  <c r="X82" i="34" s="1"/>
  <c r="I78" i="34"/>
  <c r="X78" i="34" s="1"/>
  <c r="E69" i="34" l="1"/>
  <c r="F69" i="34"/>
  <c r="O69" i="34" s="1"/>
  <c r="Q69" i="34" s="1"/>
  <c r="J69" i="34"/>
  <c r="R69" i="34" s="1"/>
  <c r="E70" i="34"/>
  <c r="F70" i="34"/>
  <c r="O70" i="34" s="1"/>
  <c r="Q70" i="34" s="1"/>
  <c r="J70" i="34"/>
  <c r="R70" i="34" s="1"/>
  <c r="E71" i="34"/>
  <c r="F71" i="34"/>
  <c r="O71" i="34" s="1"/>
  <c r="Q71" i="34" s="1"/>
  <c r="J71" i="34"/>
  <c r="R71" i="34" s="1"/>
  <c r="E72" i="34"/>
  <c r="F72" i="34"/>
  <c r="O72" i="34" s="1"/>
  <c r="Q72" i="34" s="1"/>
  <c r="J72" i="34"/>
  <c r="R72" i="34" s="1"/>
  <c r="E73" i="34"/>
  <c r="F73" i="34"/>
  <c r="J73" i="34"/>
  <c r="R73" i="34" s="1"/>
  <c r="G73" i="34" l="1"/>
  <c r="H73" i="34" s="1"/>
  <c r="K73" i="34" s="1"/>
  <c r="S71" i="34"/>
  <c r="Z71" i="34"/>
  <c r="S72" i="34"/>
  <c r="Z72" i="34"/>
  <c r="S73" i="34"/>
  <c r="Z73" i="34"/>
  <c r="S69" i="34"/>
  <c r="Z69" i="34"/>
  <c r="L73" i="34"/>
  <c r="O73" i="34"/>
  <c r="Q73" i="34" s="1"/>
  <c r="S70" i="34"/>
  <c r="Z70" i="34"/>
  <c r="G72" i="34"/>
  <c r="H72" i="34" s="1"/>
  <c r="K72" i="34" s="1"/>
  <c r="G69" i="34"/>
  <c r="H69" i="34" s="1"/>
  <c r="K69" i="34" s="1"/>
  <c r="G70" i="34"/>
  <c r="H70" i="34" s="1"/>
  <c r="K70" i="34" s="1"/>
  <c r="G71" i="34"/>
  <c r="H71" i="34" s="1"/>
  <c r="K71" i="34" s="1"/>
  <c r="L69" i="34"/>
  <c r="L72" i="34"/>
  <c r="L71" i="34"/>
  <c r="L70" i="34"/>
  <c r="C19" i="34" l="1"/>
  <c r="C20" i="34" s="1"/>
  <c r="Q17" i="34" s="1"/>
  <c r="Q25" i="34" s="1"/>
  <c r="D31" i="3" l="1"/>
  <c r="D30" i="3"/>
  <c r="F19" i="34"/>
  <c r="W11" i="34"/>
  <c r="Q10" i="34"/>
  <c r="Q12" i="34" s="1"/>
  <c r="T25" i="34" l="1"/>
  <c r="T17" i="34"/>
  <c r="T12" i="34"/>
  <c r="Q20" i="34"/>
  <c r="Q13" i="34"/>
  <c r="T13" i="34" s="1"/>
  <c r="Q29" i="34"/>
  <c r="C16" i="34"/>
  <c r="U33" i="34" l="1"/>
  <c r="M33" i="3" s="1"/>
  <c r="Q21" i="34"/>
  <c r="T21" i="34" s="1"/>
  <c r="B74" i="34"/>
  <c r="I74" i="34" s="1"/>
  <c r="P74" i="34" l="1"/>
  <c r="P83" i="34" s="1"/>
  <c r="B83" i="34"/>
  <c r="O93" i="34"/>
  <c r="R93" i="34" s="1"/>
  <c r="M93" i="34"/>
  <c r="J93" i="34"/>
  <c r="S93" i="34" s="1"/>
  <c r="F93" i="34"/>
  <c r="E93" i="34"/>
  <c r="N93" i="34"/>
  <c r="U93" i="34" s="1"/>
  <c r="J92" i="34"/>
  <c r="S92" i="34" s="1"/>
  <c r="F92" i="34"/>
  <c r="E92" i="34"/>
  <c r="D92" i="34"/>
  <c r="M92" i="34" s="1"/>
  <c r="N92" i="34"/>
  <c r="U92" i="34" s="1"/>
  <c r="J91" i="34"/>
  <c r="S91" i="34" s="1"/>
  <c r="F91" i="34"/>
  <c r="E91" i="34"/>
  <c r="D91" i="34"/>
  <c r="M91" i="34" s="1"/>
  <c r="N91" i="34"/>
  <c r="U91" i="34" s="1"/>
  <c r="O90" i="34"/>
  <c r="R90" i="34" s="1"/>
  <c r="M90" i="34"/>
  <c r="J90" i="34"/>
  <c r="S90" i="34" s="1"/>
  <c r="F90" i="34"/>
  <c r="E90" i="34"/>
  <c r="N90" i="34"/>
  <c r="U90" i="34" s="1"/>
  <c r="O89" i="34"/>
  <c r="R89" i="34" s="1"/>
  <c r="M89" i="34"/>
  <c r="J89" i="34"/>
  <c r="F89" i="34"/>
  <c r="E89" i="34"/>
  <c r="N89" i="34"/>
  <c r="U89" i="34" s="1"/>
  <c r="X74" i="34" l="1"/>
  <c r="AB74" i="34" s="1"/>
  <c r="I83" i="34"/>
  <c r="X83" i="34" s="1"/>
  <c r="AB83" i="34" s="1"/>
  <c r="L90" i="34"/>
  <c r="L91" i="34"/>
  <c r="L93" i="34"/>
  <c r="L89" i="34"/>
  <c r="O91" i="34"/>
  <c r="R91" i="34" s="1"/>
  <c r="G93" i="34"/>
  <c r="H93" i="34" s="1"/>
  <c r="K93" i="34" s="1"/>
  <c r="L92" i="34"/>
  <c r="O92" i="34"/>
  <c r="R92" i="34" s="1"/>
  <c r="G89" i="34"/>
  <c r="H89" i="34" s="1"/>
  <c r="K89" i="34" s="1"/>
  <c r="S89" i="34"/>
  <c r="G91" i="34"/>
  <c r="H91" i="34" s="1"/>
  <c r="K91" i="34" s="1"/>
  <c r="G90" i="34"/>
  <c r="H90" i="34" s="1"/>
  <c r="K90" i="34" s="1"/>
  <c r="G92" i="34"/>
  <c r="H92" i="34" s="1"/>
  <c r="K92" i="34" s="1"/>
  <c r="H33" i="3" l="1"/>
  <c r="C76" i="34"/>
  <c r="D76" i="34"/>
  <c r="E76" i="34"/>
  <c r="F76" i="34"/>
  <c r="G76" i="34"/>
  <c r="H76" i="34"/>
  <c r="I76" i="34"/>
  <c r="J76" i="34"/>
  <c r="K76" i="34"/>
  <c r="L76" i="34"/>
  <c r="M76" i="34"/>
  <c r="N76" i="34"/>
  <c r="O76" i="34"/>
  <c r="P76" i="34"/>
  <c r="Q76" i="34"/>
  <c r="R76" i="34"/>
  <c r="B76" i="34"/>
  <c r="AB82" i="34" l="1"/>
  <c r="R82" i="34"/>
  <c r="Z82" i="34" s="1"/>
  <c r="AC82" i="34" s="1"/>
  <c r="Q82" i="34"/>
  <c r="P82" i="34"/>
  <c r="O82" i="34"/>
  <c r="N82" i="34"/>
  <c r="D82" i="34"/>
  <c r="C82" i="34"/>
  <c r="B82" i="34"/>
  <c r="AB81" i="34"/>
  <c r="R81" i="34"/>
  <c r="Z81" i="34" s="1"/>
  <c r="AC81" i="34" s="1"/>
  <c r="Q81" i="34"/>
  <c r="P81" i="34"/>
  <c r="O81" i="34"/>
  <c r="N81" i="34"/>
  <c r="C81" i="34"/>
  <c r="B81" i="34"/>
  <c r="AB80" i="34"/>
  <c r="R80" i="34"/>
  <c r="Z80" i="34" s="1"/>
  <c r="AC80" i="34" s="1"/>
  <c r="Q80" i="34"/>
  <c r="P80" i="34"/>
  <c r="O80" i="34"/>
  <c r="N80" i="34"/>
  <c r="C80" i="34"/>
  <c r="B80" i="34"/>
  <c r="AB79" i="34"/>
  <c r="R79" i="34"/>
  <c r="Z79" i="34" s="1"/>
  <c r="AC79" i="34" s="1"/>
  <c r="Q79" i="34"/>
  <c r="P79" i="34"/>
  <c r="O79" i="34"/>
  <c r="N79" i="34"/>
  <c r="E79" i="34"/>
  <c r="D79" i="34"/>
  <c r="C79" i="34"/>
  <c r="B79" i="34"/>
  <c r="AB78" i="34"/>
  <c r="R78" i="34"/>
  <c r="Z78" i="34" s="1"/>
  <c r="AC78" i="34" s="1"/>
  <c r="Q78" i="34"/>
  <c r="P78" i="34"/>
  <c r="O78" i="34"/>
  <c r="N78" i="34"/>
  <c r="E78" i="34"/>
  <c r="D78" i="34"/>
  <c r="C78" i="34"/>
  <c r="B78" i="34"/>
  <c r="AC73" i="34"/>
  <c r="X73" i="34"/>
  <c r="AB73" i="34" s="1"/>
  <c r="C26" i="3" s="1"/>
  <c r="M82" i="34"/>
  <c r="J82" i="34"/>
  <c r="F82" i="34"/>
  <c r="E82" i="34"/>
  <c r="AC72" i="34"/>
  <c r="X72" i="34"/>
  <c r="AB72" i="34" s="1"/>
  <c r="C25" i="3" s="1"/>
  <c r="J81" i="34"/>
  <c r="F81" i="34"/>
  <c r="G81" i="34"/>
  <c r="M81" i="34"/>
  <c r="AC71" i="34"/>
  <c r="X71" i="34"/>
  <c r="AB71" i="34" s="1"/>
  <c r="C24" i="3" s="1"/>
  <c r="J80" i="34"/>
  <c r="F80" i="34"/>
  <c r="D80" i="34"/>
  <c r="AC70" i="34"/>
  <c r="X70" i="34"/>
  <c r="AB70" i="34" s="1"/>
  <c r="C23" i="3" s="1"/>
  <c r="M79" i="34"/>
  <c r="J79" i="34"/>
  <c r="L79" i="34"/>
  <c r="AC69" i="34"/>
  <c r="X69" i="34"/>
  <c r="AB69" i="34" s="1"/>
  <c r="C22" i="3" s="1"/>
  <c r="M78" i="34"/>
  <c r="J78" i="34"/>
  <c r="L78" i="34"/>
  <c r="C63" i="34"/>
  <c r="J62" i="34"/>
  <c r="C62" i="34"/>
  <c r="J61" i="34"/>
  <c r="R60" i="34"/>
  <c r="Q60" i="34"/>
  <c r="U58" i="34"/>
  <c r="W58" i="34" s="1"/>
  <c r="L57" i="34"/>
  <c r="AE54" i="34"/>
  <c r="B56" i="34"/>
  <c r="AE53" i="34"/>
  <c r="L55" i="34"/>
  <c r="B55" i="34"/>
  <c r="D53" i="34"/>
  <c r="A42" i="34"/>
  <c r="C18" i="34"/>
  <c r="E15" i="34"/>
  <c r="E14" i="34"/>
  <c r="E13" i="34"/>
  <c r="E12" i="34"/>
  <c r="E11" i="34"/>
  <c r="D42" i="3"/>
  <c r="I40" i="3"/>
  <c r="H40" i="3"/>
  <c r="L56" i="34" s="1"/>
  <c r="D41" i="3"/>
  <c r="I39" i="3"/>
  <c r="D40" i="3"/>
  <c r="I38" i="3"/>
  <c r="D39" i="3"/>
  <c r="D16" i="3"/>
  <c r="V56" i="34" l="1"/>
  <c r="V57" i="34"/>
  <c r="B29" i="34"/>
  <c r="C39" i="34"/>
  <c r="Q14" i="34"/>
  <c r="T14" i="34" s="1"/>
  <c r="Q15" i="34"/>
  <c r="T15" i="34" s="1"/>
  <c r="Q16" i="34"/>
  <c r="T16" i="34" s="1"/>
  <c r="P46" i="34"/>
  <c r="F74" i="34"/>
  <c r="F83" i="34" s="1"/>
  <c r="E74" i="34"/>
  <c r="E83" i="34" s="1"/>
  <c r="J74" i="34"/>
  <c r="J63" i="34"/>
  <c r="L63" i="34" s="1"/>
  <c r="T105" i="34"/>
  <c r="L100" i="34"/>
  <c r="G79" i="34"/>
  <c r="L81" i="34"/>
  <c r="L80" i="34"/>
  <c r="F79" i="34"/>
  <c r="E80" i="34"/>
  <c r="L62" i="34"/>
  <c r="F78" i="34"/>
  <c r="D81" i="34"/>
  <c r="H81" i="34"/>
  <c r="L82" i="34"/>
  <c r="M80" i="34"/>
  <c r="E81" i="34"/>
  <c r="F13" i="34"/>
  <c r="A26" i="34" s="1"/>
  <c r="F11" i="34"/>
  <c r="A24" i="34" s="1"/>
  <c r="F14" i="34"/>
  <c r="A27" i="34" s="1"/>
  <c r="F12" i="34"/>
  <c r="A25" i="34" s="1"/>
  <c r="F15" i="34"/>
  <c r="A28" i="34" s="1"/>
  <c r="C28" i="34" s="1"/>
  <c r="M56" i="34"/>
  <c r="N56" i="34" s="1"/>
  <c r="AF54" i="34"/>
  <c r="AG53" i="34" s="1"/>
  <c r="F62" i="34"/>
  <c r="N63" i="34"/>
  <c r="E23" i="3"/>
  <c r="H100" i="34"/>
  <c r="T104" i="34"/>
  <c r="G54" i="34"/>
  <c r="M55" i="34"/>
  <c r="N55" i="34" s="1"/>
  <c r="F63" i="34"/>
  <c r="E25" i="3"/>
  <c r="E26" i="3"/>
  <c r="E100" i="34"/>
  <c r="T103" i="34"/>
  <c r="E22" i="3"/>
  <c r="M54" i="34"/>
  <c r="G56" i="34"/>
  <c r="F100" i="34"/>
  <c r="G100" i="34" s="1"/>
  <c r="T102" i="34"/>
  <c r="E24" i="3"/>
  <c r="V54" i="34"/>
  <c r="G55" i="34"/>
  <c r="V55" i="34"/>
  <c r="M57" i="34"/>
  <c r="N57" i="34" s="1"/>
  <c r="N62" i="34"/>
  <c r="T101" i="34"/>
  <c r="U53" i="34"/>
  <c r="W53" i="34" s="1"/>
  <c r="Q24" i="34" l="1"/>
  <c r="Q23" i="34"/>
  <c r="T23" i="34" s="1"/>
  <c r="Q22" i="34"/>
  <c r="T22" i="34" s="1"/>
  <c r="R74" i="34"/>
  <c r="R46" i="34" s="1"/>
  <c r="J83" i="34"/>
  <c r="T20" i="34"/>
  <c r="F46" i="34"/>
  <c r="F50" i="34" s="1"/>
  <c r="B46" i="34"/>
  <c r="B50" i="34" s="1"/>
  <c r="I46" i="34"/>
  <c r="J46" i="34"/>
  <c r="J50" i="34" s="1"/>
  <c r="E28" i="34"/>
  <c r="P50" i="34"/>
  <c r="E46" i="34"/>
  <c r="E50" i="34" s="1"/>
  <c r="H79" i="34"/>
  <c r="G28" i="34"/>
  <c r="D28" i="34"/>
  <c r="K79" i="34"/>
  <c r="F28" i="34"/>
  <c r="J100" i="34"/>
  <c r="K81" i="34"/>
  <c r="G80" i="34"/>
  <c r="G78" i="34"/>
  <c r="G82" i="34"/>
  <c r="G27" i="34"/>
  <c r="C27" i="34"/>
  <c r="F27" i="34"/>
  <c r="E27" i="34"/>
  <c r="D27" i="34"/>
  <c r="E24" i="34"/>
  <c r="D24" i="34"/>
  <c r="G24" i="34"/>
  <c r="C24" i="34"/>
  <c r="F24" i="34"/>
  <c r="E26" i="34"/>
  <c r="D26" i="34"/>
  <c r="G26" i="34"/>
  <c r="C26" i="34"/>
  <c r="F26" i="34"/>
  <c r="G25" i="34"/>
  <c r="C25" i="34"/>
  <c r="F25" i="34"/>
  <c r="E25" i="34"/>
  <c r="D25" i="34"/>
  <c r="I100" i="34"/>
  <c r="I50" i="34" l="1"/>
  <c r="D63" i="34" s="1"/>
  <c r="E63" i="34" s="1"/>
  <c r="E41" i="3" s="1"/>
  <c r="T24" i="34"/>
  <c r="W13" i="34" s="1"/>
  <c r="S74" i="34"/>
  <c r="R50" i="34" s="1"/>
  <c r="R83" i="34"/>
  <c r="Z83" i="34" s="1"/>
  <c r="AC83" i="34" s="1"/>
  <c r="Z74" i="34"/>
  <c r="AC74" i="34" s="1"/>
  <c r="K100" i="34"/>
  <c r="S102" i="34" s="1"/>
  <c r="U102" i="34" s="1"/>
  <c r="F54" i="34"/>
  <c r="H54" i="34" s="1"/>
  <c r="D36" i="34"/>
  <c r="E36" i="34" s="1"/>
  <c r="B24" i="3" s="1"/>
  <c r="D37" i="34"/>
  <c r="E37" i="34" s="1"/>
  <c r="B25" i="3" s="1"/>
  <c r="D35" i="34"/>
  <c r="E35" i="34" s="1"/>
  <c r="B23" i="3" s="1"/>
  <c r="D34" i="34"/>
  <c r="E34" i="34" s="1"/>
  <c r="B22" i="3" s="1"/>
  <c r="D38" i="34"/>
  <c r="E38" i="34" s="1"/>
  <c r="B26" i="3" s="1"/>
  <c r="H78" i="34"/>
  <c r="H82" i="34"/>
  <c r="K82" i="34"/>
  <c r="H80" i="34"/>
  <c r="K80" i="34"/>
  <c r="Z13" i="34" l="1"/>
  <c r="M30" i="3" s="1"/>
  <c r="J33" i="3"/>
  <c r="U54" i="34"/>
  <c r="S60" i="34" s="1"/>
  <c r="D62" i="34"/>
  <c r="E62" i="34" s="1"/>
  <c r="E40" i="3" s="1"/>
  <c r="S103" i="34"/>
  <c r="U103" i="34" s="1"/>
  <c r="S101" i="34"/>
  <c r="U101" i="34" s="1"/>
  <c r="S105" i="34"/>
  <c r="U105" i="34" s="1"/>
  <c r="M100" i="34"/>
  <c r="S104" i="34"/>
  <c r="U104" i="34" s="1"/>
  <c r="K78" i="34"/>
  <c r="W54" i="34" l="1"/>
  <c r="C32" i="3"/>
  <c r="D16" i="34"/>
  <c r="C74" i="34" s="1"/>
  <c r="C83" i="34" s="1"/>
  <c r="U34" i="34" l="1"/>
  <c r="M34" i="3" s="1"/>
  <c r="U35" i="34"/>
  <c r="L11" i="34"/>
  <c r="C33" i="3" s="1"/>
  <c r="E16" i="34"/>
  <c r="F16" i="34" s="1"/>
  <c r="A29" i="34" s="1"/>
  <c r="G29" i="34" s="1"/>
  <c r="C46" i="34"/>
  <c r="C50" i="34" s="1"/>
  <c r="F55" i="34" s="1"/>
  <c r="H55" i="34" s="1"/>
  <c r="M74" i="34"/>
  <c r="T46" i="34" s="1"/>
  <c r="T50" i="34" s="1"/>
  <c r="L74" i="34"/>
  <c r="L46" i="34" s="1"/>
  <c r="T74" i="34"/>
  <c r="G74" i="34"/>
  <c r="G83" i="34" s="1"/>
  <c r="L50" i="34" l="1"/>
  <c r="U56" i="34"/>
  <c r="F33" i="3"/>
  <c r="A74" i="34"/>
  <c r="A83" i="34" s="1"/>
  <c r="D29" i="34"/>
  <c r="E29" i="34"/>
  <c r="F29" i="34"/>
  <c r="C29" i="34"/>
  <c r="L83" i="34"/>
  <c r="G46" i="34"/>
  <c r="G50" i="34" s="1"/>
  <c r="M83" i="34"/>
  <c r="D74" i="34"/>
  <c r="D83" i="34" s="1"/>
  <c r="H74" i="34"/>
  <c r="H83" i="34" s="1"/>
  <c r="M46" i="34"/>
  <c r="M50" i="34" s="1"/>
  <c r="U57" i="34" s="1"/>
  <c r="W57" i="34" s="1"/>
  <c r="W56" i="34" l="1"/>
  <c r="D39" i="34"/>
  <c r="E39" i="34" s="1"/>
  <c r="AE52" i="34" s="1"/>
  <c r="J29" i="34"/>
  <c r="H46" i="34"/>
  <c r="H50" i="34" s="1"/>
  <c r="S46" i="34"/>
  <c r="K74" i="34"/>
  <c r="K83" i="34" s="1"/>
  <c r="N74" i="34"/>
  <c r="N46" i="34" s="1"/>
  <c r="D46" i="34"/>
  <c r="D50" i="34" s="1"/>
  <c r="O74" i="34"/>
  <c r="K29" i="34" l="1"/>
  <c r="G33" i="3" s="1"/>
  <c r="AG52" i="34"/>
  <c r="AG55" i="34" s="1"/>
  <c r="S50" i="34"/>
  <c r="U55" i="34" s="1"/>
  <c r="K46" i="34"/>
  <c r="K50" i="34" s="1"/>
  <c r="O83" i="34"/>
  <c r="O46" i="34"/>
  <c r="O50" i="34" s="1"/>
  <c r="L54" i="34" s="1"/>
  <c r="N54" i="34" s="1"/>
  <c r="N50" i="34"/>
  <c r="F56" i="34" s="1"/>
  <c r="H56" i="34" s="1"/>
  <c r="N83" i="34"/>
  <c r="Q74" i="34"/>
  <c r="Q46" i="34" s="1"/>
  <c r="W55" i="34" l="1"/>
  <c r="Q50" i="34"/>
  <c r="Q83" i="34"/>
  <c r="K62" i="34" l="1"/>
  <c r="M62" i="34" s="1"/>
  <c r="M39" i="3" s="1"/>
  <c r="K63" i="34"/>
  <c r="M63" i="34" s="1"/>
  <c r="M40"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Jeremy B. Fink</author>
  </authors>
  <commentList>
    <comment ref="D74" authorId="0" shapeId="0" xr:uid="{00000000-0006-0000-0300-000001000000}">
      <text>
        <r>
          <rPr>
            <b/>
            <sz val="9"/>
            <color indexed="81"/>
            <rFont val="Tahoma"/>
            <family val="2"/>
          </rPr>
          <t>Jeremy B. Fink:</t>
        </r>
        <r>
          <rPr>
            <sz val="9"/>
            <color indexed="81"/>
            <rFont val="Tahoma"/>
            <family val="2"/>
          </rPr>
          <t xml:space="preserve">
See interpolated relationship below</t>
        </r>
      </text>
    </comment>
    <comment ref="O74" authorId="0" shapeId="0" xr:uid="{00000000-0006-0000-0300-000002000000}">
      <text>
        <r>
          <rPr>
            <b/>
            <sz val="9"/>
            <color indexed="81"/>
            <rFont val="Tahoma"/>
            <family val="2"/>
          </rPr>
          <t>Jeremy B. Fink:</t>
        </r>
        <r>
          <rPr>
            <sz val="9"/>
            <color indexed="81"/>
            <rFont val="Tahoma"/>
            <family val="2"/>
          </rPr>
          <t xml:space="preserve">
Weir Height + 3 inches for screen assy + Vert. Screen Height + 3 inches clearance</t>
        </r>
      </text>
    </comment>
    <comment ref="P74" authorId="0" shapeId="0" xr:uid="{00000000-0006-0000-0300-000003000000}">
      <text>
        <r>
          <rPr>
            <b/>
            <sz val="9"/>
            <color indexed="81"/>
            <rFont val="Tahoma"/>
            <family val="2"/>
          </rPr>
          <t>Jeremy B. Fink:</t>
        </r>
        <r>
          <rPr>
            <sz val="9"/>
            <color indexed="81"/>
            <rFont val="Tahoma"/>
            <family val="2"/>
          </rPr>
          <t xml:space="preserve">
From Precaster</t>
        </r>
      </text>
    </comment>
    <comment ref="T74" authorId="0" shapeId="0" xr:uid="{00000000-0006-0000-0300-000004000000}">
      <text>
        <r>
          <rPr>
            <b/>
            <sz val="9"/>
            <color indexed="81"/>
            <rFont val="Tahoma"/>
            <family val="2"/>
          </rPr>
          <t>Jeremy B. Fink:</t>
        </r>
        <r>
          <rPr>
            <sz val="9"/>
            <color indexed="81"/>
            <rFont val="Tahoma"/>
            <family val="2"/>
          </rPr>
          <t xml:space="preserve">
150 gpm/sq.ft.
</t>
        </r>
      </text>
    </comment>
  </commentList>
</comments>
</file>

<file path=xl/sharedStrings.xml><?xml version="1.0" encoding="utf-8"?>
<sst xmlns="http://schemas.openxmlformats.org/spreadsheetml/2006/main" count="541" uniqueCount="315">
  <si>
    <t>Outlet Pipe Size:</t>
  </si>
  <si>
    <t>Outlet Invert:</t>
  </si>
  <si>
    <t>%</t>
  </si>
  <si>
    <t>cfs</t>
  </si>
  <si>
    <t>% Removal</t>
  </si>
  <si>
    <t>Check</t>
  </si>
  <si>
    <t>User</t>
  </si>
  <si>
    <t>Unit</t>
  </si>
  <si>
    <t>Project Name:</t>
  </si>
  <si>
    <t>Street:</t>
  </si>
  <si>
    <t>City:</t>
  </si>
  <si>
    <t>State:</t>
  </si>
  <si>
    <t>Post Code:</t>
  </si>
  <si>
    <t>Company:</t>
  </si>
  <si>
    <t>Office:</t>
  </si>
  <si>
    <t>email:</t>
  </si>
  <si>
    <t>Phone:</t>
  </si>
  <si>
    <t>PSD</t>
  </si>
  <si>
    <t>Designer:</t>
  </si>
  <si>
    <t>Rim to invert clearance check</t>
  </si>
  <si>
    <t>Links Page</t>
  </si>
  <si>
    <t>ReadMe page</t>
  </si>
  <si>
    <t>Specification</t>
  </si>
  <si>
    <t>User manual</t>
  </si>
  <si>
    <t xml:space="preserve">Standards detail drawing sheet, showing garde rings, DD and FD connections, onsite assembly notes, etc. Things that sould be on the construction set. </t>
  </si>
  <si>
    <t>Contact Hydro:</t>
  </si>
  <si>
    <t>Rim Level:</t>
  </si>
  <si>
    <t xml:space="preserve">µm </t>
  </si>
  <si>
    <t>DryScreen</t>
  </si>
  <si>
    <t>6x12</t>
  </si>
  <si>
    <t>8x14</t>
  </si>
  <si>
    <t>10x16</t>
  </si>
  <si>
    <t>SLR</t>
  </si>
  <si>
    <t>gpm</t>
  </si>
  <si>
    <t>4x8</t>
  </si>
  <si>
    <t xml:space="preserve">  </t>
  </si>
  <si>
    <t>Removal to</t>
  </si>
  <si>
    <t>y=-0.0044x+1.0966</t>
  </si>
  <si>
    <t>y=-0.0022x+1.1983</t>
  </si>
  <si>
    <t>y=-0.0038x+1.1803</t>
  </si>
  <si>
    <t>y=-0.0046x+1.0437</t>
  </si>
  <si>
    <t>y=-0.0046x+1.0168</t>
  </si>
  <si>
    <t>SLR (gpm/ft2)</t>
  </si>
  <si>
    <t>Area (ft2)</t>
  </si>
  <si>
    <t>length (ft)</t>
  </si>
  <si>
    <t>width (ft)</t>
  </si>
  <si>
    <t>PSD=</t>
  </si>
  <si>
    <t>Width</t>
  </si>
  <si>
    <t>Length</t>
  </si>
  <si>
    <t>Weir Ht.</t>
  </si>
  <si>
    <t>Screen Area</t>
  </si>
  <si>
    <t>Open Area</t>
  </si>
  <si>
    <t>(feet)</t>
  </si>
  <si>
    <t>(sq.ft.)</t>
  </si>
  <si>
    <t>(sq.ft)</t>
  </si>
  <si>
    <t>(in)</t>
  </si>
  <si>
    <t>(cu.yd.)</t>
  </si>
  <si>
    <t>Downstream Gap</t>
  </si>
  <si>
    <t>Screen Height</t>
  </si>
  <si>
    <t>Max Pipe</t>
  </si>
  <si>
    <t>Pipe Area</t>
  </si>
  <si>
    <t>Total Sediment Storage</t>
  </si>
  <si>
    <t>Allowed Blockage</t>
  </si>
  <si>
    <t>Metric</t>
  </si>
  <si>
    <t>(m)</t>
  </si>
  <si>
    <t>(m2)</t>
  </si>
  <si>
    <t>(m3)</t>
  </si>
  <si>
    <t xml:space="preserve">WQF Input = </t>
  </si>
  <si>
    <t>Reported Results</t>
  </si>
  <si>
    <t>Actual</t>
  </si>
  <si>
    <t>Rounded</t>
  </si>
  <si>
    <t>These are shown as the output</t>
  </si>
  <si>
    <t>User Selected</t>
  </si>
  <si>
    <t>Down to Efficiency Calculations.</t>
  </si>
  <si>
    <t>Select Units:</t>
  </si>
  <si>
    <t>User Selected Model</t>
  </si>
  <si>
    <t xml:space="preserve">Properties. </t>
  </si>
  <si>
    <t>(mm)</t>
  </si>
  <si>
    <t xml:space="preserve">Drawing </t>
  </si>
  <si>
    <t>Project=</t>
  </si>
  <si>
    <t>Street=</t>
  </si>
  <si>
    <t>Inlet Pipe Size:</t>
  </si>
  <si>
    <t>Inlet Invert:</t>
  </si>
  <si>
    <t>Checks</t>
  </si>
  <si>
    <t>Inlet pipe size=</t>
  </si>
  <si>
    <t>outlet pipe size=</t>
  </si>
  <si>
    <t>inlet invert=</t>
  </si>
  <si>
    <t>Rim=</t>
  </si>
  <si>
    <t>width=</t>
  </si>
  <si>
    <t>length=</t>
  </si>
  <si>
    <t>Unit flag (US=1)=</t>
  </si>
  <si>
    <t>Invert to Sump</t>
  </si>
  <si>
    <t>Internal Height</t>
  </si>
  <si>
    <t>Invert to sump=</t>
  </si>
  <si>
    <t>Internal Height=</t>
  </si>
  <si>
    <t>Top Slab &amp; Frame</t>
  </si>
  <si>
    <t>Rim to Inv</t>
  </si>
  <si>
    <t>Rim to inv</t>
  </si>
  <si>
    <t>Allowable</t>
  </si>
  <si>
    <t>oulet invet=</t>
  </si>
  <si>
    <t>Min Cover</t>
  </si>
  <si>
    <t>Actual Cover</t>
  </si>
  <si>
    <t>DWG Text Boxes</t>
  </si>
  <si>
    <t>Inlet Invert=</t>
  </si>
  <si>
    <t>Outlet Invert=</t>
  </si>
  <si>
    <t>Rim Level=</t>
  </si>
  <si>
    <t>Max Flow</t>
  </si>
  <si>
    <t>(cfs)</t>
  </si>
  <si>
    <t>Open Screen Area</t>
  </si>
  <si>
    <t>(L/s)</t>
  </si>
  <si>
    <t>Min Sediment Storage</t>
  </si>
  <si>
    <t>Max. Treatment Flow Rate:</t>
  </si>
  <si>
    <t>Min. Open Orifice Area of Screens:</t>
  </si>
  <si>
    <t>Min. Screenings Storage Capacity:</t>
  </si>
  <si>
    <t>Min Screen Storage Storage</t>
  </si>
  <si>
    <t>Min. Sediment Storage Capacity:</t>
  </si>
  <si>
    <t>HYDRO DRYSCREEN MODEL</t>
  </si>
  <si>
    <t>DS4X8</t>
  </si>
  <si>
    <t>DS6X12</t>
  </si>
  <si>
    <t>DS8X14</t>
  </si>
  <si>
    <t>DS10X16</t>
  </si>
  <si>
    <t>NOTES:</t>
  </si>
  <si>
    <t xml:space="preserve">Design Statement. </t>
  </si>
  <si>
    <t>User TSS:</t>
  </si>
  <si>
    <t>PSD:</t>
  </si>
  <si>
    <t>WQf:</t>
  </si>
  <si>
    <t>Water Quality Flow Rate:</t>
  </si>
  <si>
    <t>Installation:</t>
  </si>
  <si>
    <t>Placement:</t>
  </si>
  <si>
    <t>Structure ID:</t>
  </si>
  <si>
    <t>Output Table Summary of Results</t>
  </si>
  <si>
    <t>in</t>
  </si>
  <si>
    <t>L/s</t>
  </si>
  <si>
    <t>mm</t>
  </si>
  <si>
    <t>Peak Flow and Arrangement Flags</t>
  </si>
  <si>
    <t>Minimum Particle Size:</t>
  </si>
  <si>
    <t>Screen Height Calculation.</t>
  </si>
  <si>
    <t>H</t>
  </si>
  <si>
    <t>Pipe</t>
  </si>
  <si>
    <t>H=((Q/Cd*A)^2)/2g</t>
  </si>
  <si>
    <t xml:space="preserve">H = Centerline of pipe </t>
  </si>
  <si>
    <t>Q= Flow</t>
  </si>
  <si>
    <t>Cd = 0.65</t>
  </si>
  <si>
    <t>A = Pipe Area</t>
  </si>
  <si>
    <t>User Inputs</t>
  </si>
  <si>
    <t>Q</t>
  </si>
  <si>
    <t>ft</t>
  </si>
  <si>
    <t>g</t>
  </si>
  <si>
    <t>Half pipe</t>
  </si>
  <si>
    <t>Inv to Top of water</t>
  </si>
  <si>
    <t>Bottom of Screen</t>
  </si>
  <si>
    <t>TOS</t>
  </si>
  <si>
    <t>Trash</t>
  </si>
  <si>
    <t>m</t>
  </si>
  <si>
    <t>Invert to TOS / TOP</t>
  </si>
  <si>
    <t>N/A</t>
  </si>
  <si>
    <t>Select Mesh Size:</t>
  </si>
  <si>
    <t>Trash Design Required?</t>
  </si>
  <si>
    <t>Calculated Water Level</t>
  </si>
  <si>
    <t>Max. Treatment Capacity</t>
  </si>
  <si>
    <t>Screen Mesh Size:</t>
  </si>
  <si>
    <t>Manhole1</t>
  </si>
  <si>
    <t>Hydro International Links:</t>
  </si>
  <si>
    <t>Double Click To Open.</t>
  </si>
  <si>
    <t>Brochure</t>
  </si>
  <si>
    <t>Online</t>
  </si>
  <si>
    <t>Double clik to open</t>
  </si>
  <si>
    <t>New Development</t>
  </si>
  <si>
    <t>TSS Removal Goal:</t>
  </si>
  <si>
    <t>DS12X20</t>
  </si>
  <si>
    <t>12x20</t>
  </si>
  <si>
    <t>HDS4X8</t>
  </si>
  <si>
    <t>HDS6X12</t>
  </si>
  <si>
    <t>HDS8X14</t>
  </si>
  <si>
    <t>HDS10X16</t>
  </si>
  <si>
    <t>HDS12X20</t>
  </si>
  <si>
    <t>Min Internal Height</t>
  </si>
  <si>
    <t>Min Rim to Inv</t>
  </si>
  <si>
    <t>Custom</t>
  </si>
  <si>
    <t>Max</t>
  </si>
  <si>
    <t>Downstream</t>
  </si>
  <si>
    <t>Screen</t>
  </si>
  <si>
    <t>Allowed</t>
  </si>
  <si>
    <t>Total Screen</t>
  </si>
  <si>
    <t>Total Sediment</t>
  </si>
  <si>
    <t>Invert</t>
  </si>
  <si>
    <t>Min Int.</t>
  </si>
  <si>
    <t>Top Slab</t>
  </si>
  <si>
    <t>Min Rim</t>
  </si>
  <si>
    <t>Bypass</t>
  </si>
  <si>
    <t>Max. Treat</t>
  </si>
  <si>
    <t>Typ. Treat</t>
  </si>
  <si>
    <t>Suntree</t>
  </si>
  <si>
    <t>Unit Area</t>
  </si>
  <si>
    <t>Gap</t>
  </si>
  <si>
    <t>Height</t>
  </si>
  <si>
    <t>Area</t>
  </si>
  <si>
    <t>Blockage</t>
  </si>
  <si>
    <t>Storage</t>
  </si>
  <si>
    <t>to Sump</t>
  </si>
  <si>
    <t>&amp; Frame</t>
  </si>
  <si>
    <t>to Inv.</t>
  </si>
  <si>
    <t>Flow</t>
  </si>
  <si>
    <t>Capacity</t>
  </si>
  <si>
    <t>Size</t>
  </si>
  <si>
    <t>(inch)</t>
  </si>
  <si>
    <t>12x24</t>
  </si>
  <si>
    <t>Jeremy Fink Table</t>
  </si>
  <si>
    <t>Max Bypass Flow</t>
  </si>
  <si>
    <t>Max Treatment Capacity</t>
  </si>
  <si>
    <t>Typical Treatment Flow</t>
  </si>
  <si>
    <t>TREATMENT PARAMETERS</t>
  </si>
  <si>
    <t>Model US</t>
  </si>
  <si>
    <t>Model Metric</t>
  </si>
  <si>
    <t>HDS1200x2400</t>
  </si>
  <si>
    <t>HDS1800x3600</t>
  </si>
  <si>
    <t>HDS2400x4200</t>
  </si>
  <si>
    <t>HDS3600x4900</t>
  </si>
  <si>
    <t>HDS3600x6100</t>
  </si>
  <si>
    <t>Custom Vault Designation</t>
  </si>
  <si>
    <t>Weir height and screen height relationship</t>
  </si>
  <si>
    <t>Peak flow calculation - make sure this is correctly calculated and how this is done.</t>
  </si>
  <si>
    <t>Buffering Sediment storage - what is this.</t>
  </si>
  <si>
    <t>Max pipe size - allow oversiing of pipes with limited peak flows? Is max. pipe currently set to equal the area of 80%  of screen area.</t>
  </si>
  <si>
    <t>Model Number</t>
  </si>
  <si>
    <t>Model Number:</t>
  </si>
  <si>
    <t>SLR Equations</t>
  </si>
  <si>
    <t>area=(%-1.1983)/(-0.0022*gpm)</t>
  </si>
  <si>
    <t>area=(%-1.1803)/(-0.0038*gpm)</t>
  </si>
  <si>
    <t>area=(%-1.0966)/(-0.0044*gpm)</t>
  </si>
  <si>
    <t>area=(%-1.0437)/(-0.0046*gpm)</t>
  </si>
  <si>
    <t>area=(%-1.0168)/(-0.0046*gpm)</t>
  </si>
  <si>
    <t>TSS:</t>
  </si>
  <si>
    <t>Long Side Length:</t>
  </si>
  <si>
    <t xml:space="preserve">Metric </t>
  </si>
  <si>
    <t>m2</t>
  </si>
  <si>
    <t>USER Inputs</t>
  </si>
  <si>
    <t>Find Vault Area given Flow and TSS%</t>
  </si>
  <si>
    <t>Vault Area:</t>
  </si>
  <si>
    <t>Enter Short Side Length:</t>
  </si>
  <si>
    <t>Dimensions Checks and Max Size</t>
  </si>
  <si>
    <t>Max Short Side:</t>
  </si>
  <si>
    <t>User Input:</t>
  </si>
  <si>
    <t>Check Messages</t>
  </si>
  <si>
    <t>Check Message Displayed:</t>
  </si>
  <si>
    <t>Total Screen Storage</t>
  </si>
  <si>
    <t>S</t>
  </si>
  <si>
    <t>T</t>
  </si>
  <si>
    <t>Top Slab to Smallest span relationship</t>
  </si>
  <si>
    <t xml:space="preserve">Max. Pipe </t>
  </si>
  <si>
    <t>ft2</t>
  </si>
  <si>
    <t xml:space="preserve">Custom Vault Eff </t>
  </si>
  <si>
    <t>19mm (0.75") Std</t>
  </si>
  <si>
    <t>Country:</t>
  </si>
  <si>
    <t>TSS %</t>
  </si>
  <si>
    <t>HDS8X12</t>
  </si>
  <si>
    <t>Allowable Peak Flow:</t>
  </si>
  <si>
    <t xml:space="preserve">Outlet Pipe Bypass Flow </t>
  </si>
  <si>
    <t>User Outlet Pipe size</t>
  </si>
  <si>
    <t>Bypass Flow</t>
  </si>
  <si>
    <t xml:space="preserve">This is used to determine the users specified pipe size bypass flow. </t>
  </si>
  <si>
    <t xml:space="preserve">cfs </t>
  </si>
  <si>
    <t>Value reported</t>
  </si>
  <si>
    <t>(If Allowable Peak Flow is less than actual peak use an external bypass or increase outlet pipe size.)</t>
  </si>
  <si>
    <t>Limited by outlet pipe size.</t>
  </si>
  <si>
    <t>Project Name</t>
  </si>
  <si>
    <t>Project Street</t>
  </si>
  <si>
    <t>Project City</t>
  </si>
  <si>
    <t>Project State</t>
  </si>
  <si>
    <t>Project Country</t>
  </si>
  <si>
    <t>Project Code</t>
  </si>
  <si>
    <t>City=</t>
  </si>
  <si>
    <t>Short</t>
  </si>
  <si>
    <t>Long</t>
  </si>
  <si>
    <t>User Input Side Length</t>
  </si>
  <si>
    <t xml:space="preserve"> Enter Long Side Length:</t>
  </si>
  <si>
    <t>Calc Long Side</t>
  </si>
  <si>
    <t>Drop Down Menu</t>
  </si>
  <si>
    <t>Message</t>
  </si>
  <si>
    <t xml:space="preserve">Decrease short side length. </t>
  </si>
  <si>
    <t>This version is:</t>
  </si>
  <si>
    <t>Email Spreadsheet Author:</t>
  </si>
  <si>
    <t xml:space="preserve">Phillip Taylor: </t>
  </si>
  <si>
    <t>ptaylor@hydro-int.com</t>
  </si>
  <si>
    <t>Tech Support:</t>
  </si>
  <si>
    <t>techsupport@hydro-int.com</t>
  </si>
  <si>
    <t>Submit design for review:</t>
  </si>
  <si>
    <t>Submit</t>
  </si>
  <si>
    <t>Peak Design Flow:</t>
  </si>
  <si>
    <t>Water Quality Result:</t>
  </si>
  <si>
    <t>Treatment Parameters Help:</t>
  </si>
  <si>
    <t>Updates and Contacts:</t>
  </si>
  <si>
    <r>
      <rPr>
        <b/>
        <i/>
        <sz val="10"/>
        <color theme="1"/>
        <rFont val="Arial"/>
        <family val="2"/>
      </rPr>
      <t>"Minimum Particle Size"</t>
    </r>
    <r>
      <rPr>
        <sz val="10"/>
        <color theme="1"/>
        <rFont val="Arial"/>
        <family val="2"/>
      </rPr>
      <t xml:space="preserve"> sets the particle size distribution from about 1000 µm down to the listed particle size.</t>
    </r>
  </si>
  <si>
    <r>
      <rPr>
        <b/>
        <i/>
        <sz val="10"/>
        <color theme="1"/>
        <rFont val="Arial"/>
        <family val="2"/>
      </rPr>
      <t>"Peak Design Flow"</t>
    </r>
    <r>
      <rPr>
        <sz val="10"/>
        <color theme="1"/>
        <rFont val="Arial"/>
        <family val="2"/>
      </rPr>
      <t xml:space="preserve"> is not used other than to provide a manual check and for information used in review. </t>
    </r>
  </si>
  <si>
    <t>Standard Vault Sizes Help:</t>
  </si>
  <si>
    <t>Custom Vault Sizes Help:</t>
  </si>
  <si>
    <t>Standard vault size results displayed are updated with changes to the Treatment Parameters.</t>
  </si>
  <si>
    <r>
      <rPr>
        <b/>
        <i/>
        <sz val="10"/>
        <color theme="1"/>
        <rFont val="Arial"/>
        <family val="2"/>
      </rPr>
      <t>"Mesh Size"</t>
    </r>
    <r>
      <rPr>
        <sz val="10"/>
        <color theme="1"/>
        <rFont val="Arial"/>
        <family val="2"/>
      </rPr>
      <t xml:space="preserve"> is should be 19 mm unless local regulations require the use of 5 mm screens.</t>
    </r>
  </si>
  <si>
    <t xml:space="preserve">Not all standard vault sizes may be availbale in all areas and local precast suppliers may produce different vault sizes. Use the Custom Vault Design option below if you need to use a locally avaible range of sizes. </t>
  </si>
  <si>
    <t>Max. Pipe</t>
  </si>
  <si>
    <t xml:space="preserve">Short side exceeds 12 ft. (3.66 m.) Reduce length or consult Hydro for options. </t>
  </si>
  <si>
    <t>SELECTED VAULT AND SITE LAYOUT DETAILS</t>
  </si>
  <si>
    <t>STANDARD VAULT SIZES RESULTS</t>
  </si>
  <si>
    <t>Cover Required for Model Selected</t>
  </si>
  <si>
    <t>Max Long Side Length:</t>
  </si>
  <si>
    <t>Long side exceeds 20 ft. (6.1 m.) Increase short side or consult Hydro for options.</t>
  </si>
  <si>
    <t xml:space="preserve">The Short Side Length  is generally the inlet and outlet ends. The Long Side is the direction of the flow. </t>
  </si>
  <si>
    <t>CUSTOMIZE VAULT DESIGN</t>
  </si>
  <si>
    <t>Custom Design Side Length Limit Warnings:</t>
  </si>
  <si>
    <t xml:space="preserve">Custom vaults are listed at the bottom of the "Select Vault" menu option. </t>
  </si>
  <si>
    <t>Select Vault:</t>
  </si>
  <si>
    <t>US</t>
  </si>
  <si>
    <t>No</t>
  </si>
  <si>
    <t>HDS5X15</t>
  </si>
  <si>
    <t>R3.5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</si>
</sst>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
    <numFmt numFmtId="166" formatCode="0.000"/>
    <numFmt numFmtId="167" formatCode="0.0000"/>
    <numFmt numFmtId="168" formatCode="0.0000E+00"/>
    <numFmt numFmtId="169" formatCode="0.00000"/>
    <numFmt numFmtId="170" formatCode="0.000000"/>
  </numFmts>
  <fonts count="4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sz val="11"/>
      <color theme="1"/>
      <name val="Calibri"/>
      <family val="2"/>
      <scheme val="minor"/>
    </font>
    <font>
      <sz val="11"/>
      <color theme="1"/>
      <name val="Calibri"/>
      <family val="2"/>
      <scheme val="minor"/>
    </font>
    <font>
      <sz val="11"/>
      <color rgb="FF3F3F76"/>
      <name val="Calibri"/>
      <family val="2"/>
      <scheme val="minor"/>
    </font>
    <font>
      <sz val="10"/>
      <color theme="1"/>
      <name val="Arial"/>
      <family val="2"/>
    </font>
    <font>
      <sz val="10"/>
      <name val="Arial"/>
      <family val="2"/>
    </font>
    <font>
      <sz val="9"/>
      <color rgb="FF000000"/>
      <name val="Arial Unicode MS"/>
      <family val="2"/>
    </font>
    <font>
      <sz val="11"/>
      <color rgb="FF9C0006"/>
      <name val="Calibri"/>
      <family val="2"/>
      <scheme val="minor"/>
    </font>
    <font>
      <sz val="11"/>
      <name val="Calibri"/>
      <family val="2"/>
      <scheme val="minor"/>
    </font>
    <font>
      <b/>
      <sz val="11"/>
      <name val="Calibri"/>
      <family val="2"/>
      <scheme val="minor"/>
    </font>
    <font>
      <b/>
      <i/>
      <sz val="11"/>
      <color theme="1"/>
      <name val="Calibri"/>
      <family val="2"/>
      <scheme val="minor"/>
    </font>
    <font>
      <u/>
      <sz val="11"/>
      <color theme="10"/>
      <name val="Calibri"/>
      <family val="2"/>
      <scheme val="minor"/>
    </font>
    <font>
      <sz val="11"/>
      <color rgb="FF006100"/>
      <name val="Calibri"/>
      <family val="2"/>
      <scheme val="minor"/>
    </font>
    <font>
      <b/>
      <sz val="9"/>
      <color indexed="81"/>
      <name val="Tahoma"/>
      <family val="2"/>
    </font>
    <font>
      <sz val="9"/>
      <color indexed="81"/>
      <name val="Tahoma"/>
      <family val="2"/>
    </font>
    <font>
      <b/>
      <sz val="11"/>
      <color rgb="FF006100"/>
      <name val="Calibri"/>
      <family val="2"/>
      <scheme val="minor"/>
    </font>
    <font>
      <b/>
      <i/>
      <sz val="10"/>
      <color theme="1"/>
      <name val="Arial"/>
      <family val="2"/>
    </font>
    <font>
      <b/>
      <u/>
      <sz val="10"/>
      <color theme="1"/>
      <name val="Arial"/>
      <family val="2"/>
    </font>
    <font>
      <sz val="10"/>
      <color rgb="FF3F3F76"/>
      <name val="Arial"/>
      <family val="2"/>
    </font>
    <font>
      <b/>
      <sz val="10"/>
      <color rgb="FFFF0000"/>
      <name val="Arial"/>
      <family val="2"/>
    </font>
    <font>
      <sz val="10"/>
      <color rgb="FFFF0000"/>
      <name val="Arial"/>
      <family val="2"/>
    </font>
    <font>
      <b/>
      <i/>
      <sz val="10"/>
      <name val="Arial"/>
      <family val="2"/>
    </font>
    <font>
      <b/>
      <sz val="10"/>
      <name val="Arial"/>
      <family val="2"/>
    </font>
    <font>
      <sz val="10"/>
      <color theme="0"/>
      <name val="Arial"/>
      <family val="2"/>
    </font>
    <font>
      <sz val="10"/>
      <color rgb="FF0070C0"/>
      <name val="Arial"/>
      <family val="2"/>
    </font>
    <font>
      <b/>
      <u/>
      <sz val="10"/>
      <name val="Arial"/>
      <family val="2"/>
    </font>
    <font>
      <i/>
      <sz val="10"/>
      <color theme="1"/>
      <name val="Arial"/>
      <family val="2"/>
    </font>
    <font>
      <b/>
      <sz val="10"/>
      <color theme="1"/>
      <name val="Arial"/>
      <family val="2"/>
    </font>
    <font>
      <b/>
      <sz val="8"/>
      <color theme="0"/>
      <name val="Arial"/>
      <family val="2"/>
    </font>
    <font>
      <b/>
      <sz val="11"/>
      <color theme="4"/>
      <name val="Arial"/>
      <family val="2"/>
    </font>
    <font>
      <sz val="11"/>
      <color theme="1"/>
      <name val="Arial"/>
      <family val="2"/>
    </font>
    <font>
      <b/>
      <sz val="11"/>
      <color theme="5"/>
      <name val="Arial"/>
      <family val="2"/>
    </font>
    <font>
      <b/>
      <sz val="11"/>
      <color theme="1"/>
      <name val="Arial"/>
      <family val="2"/>
    </font>
    <font>
      <u/>
      <sz val="11"/>
      <color theme="10"/>
      <name val="Arial"/>
      <family val="2"/>
    </font>
    <font>
      <b/>
      <sz val="10"/>
      <color rgb="FFFA7D00"/>
      <name val="Arial"/>
      <family val="2"/>
    </font>
    <font>
      <sz val="8"/>
      <color theme="1" tint="0.34998626667073579"/>
      <name val="Arial"/>
      <family val="2"/>
    </font>
  </fonts>
  <fills count="12">
    <fill>
      <patternFill patternType="none"/>
    </fill>
    <fill>
      <patternFill patternType="gray125"/>
    </fill>
    <fill>
      <patternFill patternType="solid">
        <fgColor rgb="FFFFC7CE"/>
      </patternFill>
    </fill>
    <fill>
      <patternFill patternType="solid">
        <fgColor rgb="FFC6EFCE"/>
      </patternFill>
    </fill>
    <fill>
      <patternFill patternType="solid">
        <fgColor rgb="FFFFFFCC"/>
      </patternFill>
    </fill>
    <fill>
      <patternFill patternType="solid">
        <fgColor theme="3"/>
        <bgColor indexed="64"/>
      </patternFill>
    </fill>
    <fill>
      <patternFill patternType="solid">
        <fgColor theme="9" tint="0.59996337778862885"/>
        <bgColor indexed="64"/>
      </patternFill>
    </fill>
    <fill>
      <patternFill patternType="solid">
        <fgColor theme="0" tint="-0.24994659260841701"/>
        <bgColor indexed="64"/>
      </patternFill>
    </fill>
    <fill>
      <patternFill patternType="solid">
        <fgColor rgb="FFF2F2F2"/>
      </patternFill>
    </fill>
    <fill>
      <patternFill patternType="solid">
        <fgColor theme="0" tint="-4.9989318521683403E-2"/>
        <bgColor indexed="64"/>
      </patternFill>
    </fill>
    <fill>
      <patternFill patternType="solid">
        <fgColor theme="5"/>
        <bgColor indexed="64"/>
      </patternFill>
    </fill>
    <fill>
      <patternFill patternType="solid">
        <fgColor theme="4"/>
        <bgColor indexed="64"/>
      </patternFill>
    </fill>
  </fills>
  <borders count="32">
    <border>
      <left/>
      <right/>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rgb="FF7F7F7F"/>
      </left>
      <right style="thin">
        <color indexed="64"/>
      </right>
      <top style="thin">
        <color rgb="FF7F7F7F"/>
      </top>
      <bottom style="thin">
        <color rgb="FF7F7F7F"/>
      </bottom>
      <diagonal/>
    </border>
    <border>
      <left/>
      <right/>
      <top/>
      <bottom style="dashed">
        <color rgb="FF7F7F7F"/>
      </bottom>
      <diagonal/>
    </border>
    <border>
      <left/>
      <right style="thin">
        <color indexed="64"/>
      </right>
      <top style="thin">
        <color indexed="64"/>
      </top>
      <bottom style="thin">
        <color indexed="64"/>
      </bottom>
      <diagonal/>
    </border>
    <border>
      <left style="thin">
        <color rgb="FF7F7F7F"/>
      </left>
      <right style="thin">
        <color rgb="FF7F7F7F"/>
      </right>
      <top style="thin">
        <color indexed="64"/>
      </top>
      <bottom style="thin">
        <color rgb="FF7F7F7F"/>
      </bottom>
      <diagonal/>
    </border>
    <border>
      <left style="thin">
        <color indexed="64"/>
      </left>
      <right style="thin">
        <color rgb="FFB2B2B2"/>
      </right>
      <top style="thin">
        <color rgb="FFB2B2B2"/>
      </top>
      <bottom style="thin">
        <color rgb="FFB2B2B2"/>
      </bottom>
      <diagonal/>
    </border>
    <border>
      <left/>
      <right/>
      <top/>
      <bottom style="thin">
        <color theme="4"/>
      </bottom>
      <diagonal/>
    </border>
    <border>
      <left/>
      <right style="medium">
        <color theme="0" tint="-0.499984740745262"/>
      </right>
      <top style="medium">
        <color theme="0" tint="-0.14996795556505021"/>
      </top>
      <bottom style="medium">
        <color theme="0" tint="-0.499984740745262"/>
      </bottom>
      <diagonal/>
    </border>
    <border>
      <left/>
      <right/>
      <top/>
      <bottom style="dotted">
        <color indexed="64"/>
      </bottom>
      <diagonal/>
    </border>
    <border>
      <left/>
      <right/>
      <top/>
      <bottom style="dotted">
        <color theme="1"/>
      </bottom>
      <diagonal/>
    </border>
    <border>
      <left/>
      <right/>
      <top style="dotted">
        <color theme="1"/>
      </top>
      <bottom style="dotted">
        <color theme="1"/>
      </bottom>
      <diagonal/>
    </border>
    <border>
      <left style="thin">
        <color indexed="64"/>
      </left>
      <right/>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style="dotted">
        <color indexed="64"/>
      </bottom>
      <diagonal/>
    </border>
    <border>
      <left/>
      <right/>
      <top style="thin">
        <color indexed="64"/>
      </top>
      <bottom style="dotted">
        <color theme="1"/>
      </bottom>
      <diagonal/>
    </border>
    <border>
      <left/>
      <right/>
      <top style="dotted">
        <color theme="1"/>
      </top>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s>
  <cellStyleXfs count="17">
    <xf numFmtId="0" fontId="0" fillId="0" borderId="0"/>
    <xf numFmtId="9" fontId="7" fillId="0" borderId="0" applyFont="0" applyFill="0" applyBorder="0" applyAlignment="0" applyProtection="0"/>
    <xf numFmtId="0" fontId="8" fillId="6" borderId="13" applyNumberFormat="0" applyAlignment="0" applyProtection="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0" fontId="12" fillId="2" borderId="0" applyNumberFormat="0" applyBorder="0" applyAlignment="0" applyProtection="0"/>
    <xf numFmtId="0" fontId="16" fillId="0" borderId="0" applyNumberFormat="0" applyFill="0" applyBorder="0" applyAlignment="0" applyProtection="0"/>
    <xf numFmtId="0" fontId="7" fillId="0" borderId="0"/>
    <xf numFmtId="9" fontId="7" fillId="0" borderId="0" applyFont="0" applyFill="0" applyBorder="0" applyAlignment="0" applyProtection="0"/>
    <xf numFmtId="0" fontId="7" fillId="0" borderId="0"/>
    <xf numFmtId="0" fontId="17" fillId="3" borderId="0" applyNumberFormat="0" applyBorder="0" applyAlignment="0" applyProtection="0"/>
    <xf numFmtId="0" fontId="7" fillId="4" borderId="11" applyNumberFormat="0" applyFont="0" applyAlignment="0" applyProtection="0"/>
    <xf numFmtId="0" fontId="39" fillId="8" borderId="1" applyNumberFormat="0" applyAlignment="0" applyProtection="0"/>
  </cellStyleXfs>
  <cellXfs count="284">
    <xf numFmtId="0" fontId="0" fillId="0" borderId="0" xfId="0"/>
    <xf numFmtId="0" fontId="6" fillId="0" borderId="0" xfId="0" applyFont="1"/>
    <xf numFmtId="167" fontId="11" fillId="0" borderId="0" xfId="0" applyNumberFormat="1" applyFont="1" applyAlignment="1">
      <alignment horizontal="left" vertical="center"/>
    </xf>
    <xf numFmtId="168" fontId="11" fillId="0" borderId="0" xfId="0" applyNumberFormat="1" applyFont="1" applyAlignment="1">
      <alignment horizontal="left" vertical="center"/>
    </xf>
    <xf numFmtId="0" fontId="0" fillId="0" borderId="0" xfId="0"/>
    <xf numFmtId="0" fontId="0" fillId="0" borderId="0" xfId="0" applyAlignment="1">
      <alignment horizontal="center" vertical="center"/>
    </xf>
    <xf numFmtId="0" fontId="0" fillId="0" borderId="0" xfId="0"/>
    <xf numFmtId="1" fontId="0" fillId="0" borderId="0" xfId="0" applyNumberFormat="1"/>
    <xf numFmtId="0" fontId="0" fillId="0" borderId="0" xfId="0" applyAlignment="1">
      <alignment horizontal="center"/>
    </xf>
    <xf numFmtId="0" fontId="0" fillId="0" borderId="0" xfId="0"/>
    <xf numFmtId="0" fontId="0" fillId="0" borderId="0" xfId="0"/>
    <xf numFmtId="165" fontId="0" fillId="0" borderId="0" xfId="1" applyNumberFormat="1" applyFont="1" applyAlignment="1">
      <alignment horizontal="center"/>
    </xf>
    <xf numFmtId="49" fontId="6" fillId="0" borderId="0" xfId="0" applyNumberFormat="1" applyFont="1" applyAlignment="1">
      <alignment horizontal="center"/>
    </xf>
    <xf numFmtId="0" fontId="0" fillId="0" borderId="3" xfId="0" applyBorder="1"/>
    <xf numFmtId="0" fontId="0" fillId="0" borderId="7" xfId="0" applyBorder="1"/>
    <xf numFmtId="0" fontId="0" fillId="0" borderId="9" xfId="0" applyBorder="1"/>
    <xf numFmtId="0" fontId="0" fillId="0" borderId="2" xfId="0" applyBorder="1"/>
    <xf numFmtId="166" fontId="0" fillId="0" borderId="0" xfId="0" applyNumberFormat="1"/>
    <xf numFmtId="166" fontId="0" fillId="0" borderId="0" xfId="0" applyNumberFormat="1" applyBorder="1"/>
    <xf numFmtId="0" fontId="0" fillId="0" borderId="6" xfId="0" applyBorder="1"/>
    <xf numFmtId="169" fontId="11" fillId="0" borderId="0" xfId="0" applyNumberFormat="1" applyFont="1" applyAlignment="1">
      <alignment horizontal="left" vertical="center"/>
    </xf>
    <xf numFmtId="170" fontId="11" fillId="0" borderId="0" xfId="0" applyNumberFormat="1" applyFont="1" applyAlignment="1">
      <alignment horizontal="left" vertical="center"/>
    </xf>
    <xf numFmtId="0" fontId="0" fillId="0" borderId="0" xfId="0" applyBorder="1"/>
    <xf numFmtId="0" fontId="6" fillId="0" borderId="0" xfId="0" applyFont="1" applyAlignment="1">
      <alignment horizontal="center"/>
    </xf>
    <xf numFmtId="2" fontId="0" fillId="0" borderId="0" xfId="0" applyNumberFormat="1"/>
    <xf numFmtId="2" fontId="0" fillId="0" borderId="0" xfId="1" applyNumberFormat="1" applyFont="1"/>
    <xf numFmtId="0" fontId="16" fillId="0" borderId="0" xfId="10"/>
    <xf numFmtId="0" fontId="0" fillId="0" borderId="0" xfId="0"/>
    <xf numFmtId="166" fontId="0" fillId="0" borderId="2" xfId="0" applyNumberFormat="1" applyBorder="1"/>
    <xf numFmtId="49" fontId="0" fillId="0" borderId="0" xfId="0" applyNumberFormat="1" applyAlignment="1">
      <alignment horizontal="center"/>
    </xf>
    <xf numFmtId="49" fontId="0" fillId="0" borderId="0" xfId="0" applyNumberFormat="1" applyBorder="1"/>
    <xf numFmtId="0" fontId="6" fillId="0" borderId="0" xfId="0" applyFont="1" applyFill="1" applyBorder="1" applyAlignment="1">
      <alignment horizontal="center"/>
    </xf>
    <xf numFmtId="0" fontId="0" fillId="0" borderId="0" xfId="0"/>
    <xf numFmtId="0" fontId="0" fillId="0" borderId="0" xfId="0"/>
    <xf numFmtId="9" fontId="0" fillId="0" borderId="0" xfId="1" applyFont="1"/>
    <xf numFmtId="0" fontId="0" fillId="0" borderId="0" xfId="0" applyNumberFormat="1"/>
    <xf numFmtId="0" fontId="0" fillId="0" borderId="0" xfId="1" applyNumberFormat="1" applyFont="1"/>
    <xf numFmtId="0" fontId="0" fillId="0" borderId="0" xfId="1" applyNumberFormat="1" applyFont="1" applyAlignment="1">
      <alignment vertical="center"/>
    </xf>
    <xf numFmtId="0" fontId="6" fillId="0" borderId="0" xfId="0" applyNumberFormat="1" applyFont="1" applyAlignment="1">
      <alignment horizontal="center"/>
    </xf>
    <xf numFmtId="0" fontId="0" fillId="0" borderId="0" xfId="1" applyNumberFormat="1" applyFont="1" applyAlignment="1">
      <alignment horizontal="center"/>
    </xf>
    <xf numFmtId="10" fontId="0" fillId="0" borderId="0" xfId="0" applyNumberFormat="1"/>
    <xf numFmtId="10" fontId="0" fillId="0" borderId="0" xfId="1" applyNumberFormat="1" applyFont="1"/>
    <xf numFmtId="2" fontId="0" fillId="0" borderId="0" xfId="0" applyNumberFormat="1" applyAlignment="1">
      <alignment horizontal="center"/>
    </xf>
    <xf numFmtId="9" fontId="0" fillId="0" borderId="0" xfId="1" applyFont="1" applyAlignment="1">
      <alignment horizontal="center"/>
    </xf>
    <xf numFmtId="164" fontId="0" fillId="0" borderId="0" xfId="0" applyNumberFormat="1" applyAlignment="1">
      <alignment horizontal="center"/>
    </xf>
    <xf numFmtId="0" fontId="6" fillId="0" borderId="0" xfId="0" applyFont="1" applyAlignment="1">
      <alignment horizontal="center" wrapText="1"/>
    </xf>
    <xf numFmtId="166" fontId="0" fillId="0" borderId="0" xfId="0" applyNumberFormat="1" applyAlignment="1">
      <alignment horizontal="center"/>
    </xf>
    <xf numFmtId="9" fontId="0" fillId="0" borderId="0" xfId="0" applyNumberFormat="1" applyAlignment="1">
      <alignment horizontal="center"/>
    </xf>
    <xf numFmtId="10" fontId="6" fillId="0" borderId="0" xfId="0" applyNumberFormat="1" applyFont="1"/>
    <xf numFmtId="0" fontId="0" fillId="0" borderId="0" xfId="0" applyFont="1" applyFill="1" applyBorder="1" applyAlignment="1">
      <alignment horizontal="center"/>
    </xf>
    <xf numFmtId="164" fontId="0" fillId="0" borderId="0" xfId="0" applyNumberFormat="1" applyFont="1" applyFill="1" applyBorder="1" applyAlignment="1">
      <alignment horizontal="center"/>
    </xf>
    <xf numFmtId="2" fontId="0" fillId="0" borderId="0" xfId="0" applyNumberFormat="1" applyFont="1" applyFill="1" applyBorder="1" applyAlignment="1">
      <alignment horizontal="center"/>
    </xf>
    <xf numFmtId="0" fontId="0" fillId="0" borderId="0" xfId="0"/>
    <xf numFmtId="0" fontId="0" fillId="0" borderId="0" xfId="0"/>
    <xf numFmtId="49" fontId="0" fillId="0" borderId="0" xfId="0" applyNumberFormat="1"/>
    <xf numFmtId="165" fontId="0" fillId="0" borderId="0" xfId="1" applyNumberFormat="1" applyFont="1" applyAlignment="1">
      <alignment horizontal="right"/>
    </xf>
    <xf numFmtId="0" fontId="6" fillId="0" borderId="5" xfId="1" applyNumberFormat="1" applyFont="1" applyBorder="1" applyAlignment="1">
      <alignment horizontal="center"/>
    </xf>
    <xf numFmtId="0" fontId="0" fillId="0" borderId="3" xfId="0" applyNumberFormat="1" applyBorder="1"/>
    <xf numFmtId="0" fontId="0" fillId="0" borderId="8" xfId="1" applyNumberFormat="1" applyFont="1" applyBorder="1" applyAlignment="1">
      <alignment horizontal="left"/>
    </xf>
    <xf numFmtId="0" fontId="0" fillId="0" borderId="8" xfId="0" applyNumberFormat="1" applyBorder="1" applyAlignment="1">
      <alignment horizontal="left"/>
    </xf>
    <xf numFmtId="0" fontId="0" fillId="0" borderId="8" xfId="1" applyNumberFormat="1" applyFont="1" applyBorder="1" applyAlignment="1">
      <alignment horizontal="right"/>
    </xf>
    <xf numFmtId="0" fontId="0" fillId="0" borderId="4" xfId="0" applyNumberFormat="1" applyBorder="1"/>
    <xf numFmtId="0" fontId="0" fillId="0" borderId="2" xfId="0" applyNumberFormat="1" applyBorder="1"/>
    <xf numFmtId="0" fontId="0" fillId="0" borderId="0" xfId="0" applyNumberFormat="1" applyAlignment="1">
      <alignment horizontal="right"/>
    </xf>
    <xf numFmtId="0" fontId="0" fillId="0" borderId="0" xfId="0" applyNumberFormat="1" applyAlignment="1">
      <alignment wrapText="1"/>
    </xf>
    <xf numFmtId="0" fontId="0" fillId="0" borderId="0" xfId="0" applyAlignment="1">
      <alignment wrapText="1"/>
    </xf>
    <xf numFmtId="0" fontId="6" fillId="0" borderId="0" xfId="0" applyFont="1" applyAlignment="1"/>
    <xf numFmtId="0" fontId="14" fillId="0" borderId="0" xfId="0" applyFont="1" applyFill="1" applyBorder="1" applyAlignment="1">
      <alignment horizontal="center"/>
    </xf>
    <xf numFmtId="0" fontId="13" fillId="0" borderId="5" xfId="0" applyFont="1" applyFill="1" applyBorder="1"/>
    <xf numFmtId="0" fontId="13" fillId="0" borderId="3" xfId="0" applyFont="1" applyFill="1" applyBorder="1"/>
    <xf numFmtId="0" fontId="14" fillId="0" borderId="3" xfId="0" applyFont="1" applyFill="1" applyBorder="1" applyAlignment="1">
      <alignment horizontal="center"/>
    </xf>
    <xf numFmtId="0" fontId="13" fillId="0" borderId="0" xfId="0" applyFont="1" applyFill="1" applyBorder="1" applyAlignment="1">
      <alignment horizontal="center"/>
    </xf>
    <xf numFmtId="0" fontId="20" fillId="3" borderId="0" xfId="14" applyFont="1"/>
    <xf numFmtId="0" fontId="17" fillId="3" borderId="0" xfId="14"/>
    <xf numFmtId="1" fontId="0" fillId="0" borderId="0" xfId="0" applyNumberFormat="1" applyAlignment="1">
      <alignment horizontal="center"/>
    </xf>
    <xf numFmtId="0" fontId="0" fillId="0" borderId="5" xfId="0" applyBorder="1"/>
    <xf numFmtId="0" fontId="0" fillId="0" borderId="3" xfId="1" applyNumberFormat="1" applyFont="1" applyBorder="1" applyAlignment="1">
      <alignment vertical="center"/>
    </xf>
    <xf numFmtId="0" fontId="0" fillId="0" borderId="9" xfId="1" applyNumberFormat="1" applyFont="1" applyBorder="1"/>
    <xf numFmtId="0" fontId="0" fillId="0" borderId="8" xfId="0" applyBorder="1"/>
    <xf numFmtId="0" fontId="0" fillId="0" borderId="0" xfId="0" applyBorder="1" applyAlignment="1">
      <alignment horizontal="right"/>
    </xf>
    <xf numFmtId="0" fontId="8" fillId="6" borderId="1" xfId="2" applyBorder="1"/>
    <xf numFmtId="0" fontId="0" fillId="0" borderId="0" xfId="1" applyNumberFormat="1" applyFont="1" applyBorder="1" applyAlignment="1">
      <alignment vertical="center"/>
    </xf>
    <xf numFmtId="0" fontId="8" fillId="6" borderId="12" xfId="2" applyBorder="1"/>
    <xf numFmtId="0" fontId="0" fillId="0" borderId="4" xfId="0" applyBorder="1"/>
    <xf numFmtId="0" fontId="0" fillId="0" borderId="2" xfId="1" applyNumberFormat="1" applyFont="1" applyBorder="1" applyAlignment="1">
      <alignment vertical="center"/>
    </xf>
    <xf numFmtId="0" fontId="0" fillId="0" borderId="6" xfId="1" applyNumberFormat="1" applyFont="1" applyBorder="1"/>
    <xf numFmtId="2" fontId="0" fillId="0" borderId="4" xfId="0" applyNumberFormat="1" applyBorder="1"/>
    <xf numFmtId="2" fontId="0" fillId="0" borderId="0" xfId="0" applyNumberFormat="1" applyBorder="1"/>
    <xf numFmtId="0" fontId="0" fillId="0" borderId="0" xfId="0" applyBorder="1" applyAlignment="1">
      <alignment horizontal="center" vertical="center"/>
    </xf>
    <xf numFmtId="167" fontId="11" fillId="0" borderId="0" xfId="0" applyNumberFormat="1" applyFont="1" applyBorder="1" applyAlignment="1">
      <alignment horizontal="left" vertical="center"/>
    </xf>
    <xf numFmtId="167" fontId="11" fillId="0" borderId="8" xfId="0" applyNumberFormat="1" applyFont="1" applyBorder="1" applyAlignment="1">
      <alignment horizontal="left" vertical="center"/>
    </xf>
    <xf numFmtId="167" fontId="11" fillId="0" borderId="8" xfId="0" applyNumberFormat="1" applyFont="1" applyBorder="1" applyAlignment="1">
      <alignment horizontal="right" vertical="center"/>
    </xf>
    <xf numFmtId="1" fontId="11" fillId="0" borderId="0" xfId="0" applyNumberFormat="1" applyFont="1" applyBorder="1" applyAlignment="1">
      <alignment horizontal="left" vertical="center"/>
    </xf>
    <xf numFmtId="167" fontId="11" fillId="0" borderId="0" xfId="0" applyNumberFormat="1" applyFont="1" applyBorder="1" applyAlignment="1">
      <alignment horizontal="right" vertical="center"/>
    </xf>
    <xf numFmtId="0" fontId="0" fillId="0" borderId="4" xfId="0" applyBorder="1" applyAlignment="1">
      <alignment horizontal="right"/>
    </xf>
    <xf numFmtId="0" fontId="0" fillId="0" borderId="0" xfId="0" applyAlignment="1">
      <alignment horizontal="right"/>
    </xf>
    <xf numFmtId="0" fontId="0" fillId="0" borderId="2" xfId="0" applyBorder="1" applyAlignment="1">
      <alignment horizontal="right"/>
    </xf>
    <xf numFmtId="0" fontId="0" fillId="0" borderId="0" xfId="0" applyFill="1" applyBorder="1"/>
    <xf numFmtId="167" fontId="11" fillId="0" borderId="2" xfId="0" applyNumberFormat="1" applyFont="1" applyBorder="1" applyAlignment="1">
      <alignment horizontal="right" vertical="center"/>
    </xf>
    <xf numFmtId="2" fontId="0" fillId="0" borderId="2" xfId="0" applyNumberFormat="1" applyBorder="1"/>
    <xf numFmtId="0" fontId="0" fillId="0" borderId="10" xfId="0" applyBorder="1"/>
    <xf numFmtId="2" fontId="8" fillId="6" borderId="10" xfId="2" applyNumberFormat="1" applyBorder="1"/>
    <xf numFmtId="0" fontId="0" fillId="0" borderId="14" xfId="0" applyBorder="1"/>
    <xf numFmtId="0" fontId="6" fillId="0" borderId="5" xfId="0" applyFont="1" applyBorder="1"/>
    <xf numFmtId="0" fontId="0" fillId="0" borderId="9" xfId="0" applyNumberFormat="1" applyBorder="1"/>
    <xf numFmtId="0" fontId="0" fillId="0" borderId="0" xfId="0" applyNumberFormat="1" applyBorder="1"/>
    <xf numFmtId="0" fontId="0" fillId="0" borderId="7" xfId="0" applyNumberFormat="1" applyBorder="1"/>
    <xf numFmtId="0" fontId="0" fillId="0" borderId="0" xfId="1" applyNumberFormat="1" applyFont="1" applyBorder="1"/>
    <xf numFmtId="0" fontId="0" fillId="0" borderId="7" xfId="1" applyNumberFormat="1" applyFont="1" applyBorder="1"/>
    <xf numFmtId="0" fontId="6" fillId="0" borderId="0" xfId="0" applyFont="1" applyBorder="1"/>
    <xf numFmtId="0" fontId="6" fillId="0" borderId="0" xfId="1" applyNumberFormat="1" applyFont="1" applyBorder="1"/>
    <xf numFmtId="0" fontId="6" fillId="0" borderId="7" xfId="1" applyNumberFormat="1" applyFont="1" applyBorder="1"/>
    <xf numFmtId="2" fontId="0" fillId="0" borderId="7" xfId="1" applyNumberFormat="1" applyFont="1" applyBorder="1"/>
    <xf numFmtId="0" fontId="6" fillId="0" borderId="2" xfId="0" applyFont="1" applyBorder="1"/>
    <xf numFmtId="2" fontId="0" fillId="0" borderId="2" xfId="1" applyNumberFormat="1" applyFont="1" applyBorder="1" applyAlignment="1">
      <alignment vertical="center"/>
    </xf>
    <xf numFmtId="2" fontId="0" fillId="0" borderId="6" xfId="1" applyNumberFormat="1" applyFont="1" applyBorder="1"/>
    <xf numFmtId="0" fontId="8" fillId="6" borderId="15" xfId="2" applyBorder="1"/>
    <xf numFmtId="0" fontId="0" fillId="0" borderId="3" xfId="1" applyNumberFormat="1" applyFont="1" applyBorder="1"/>
    <xf numFmtId="0" fontId="6" fillId="0" borderId="0" xfId="1" applyNumberFormat="1" applyFont="1" applyBorder="1" applyAlignment="1">
      <alignment vertical="center"/>
    </xf>
    <xf numFmtId="2" fontId="0" fillId="0" borderId="8" xfId="0" applyNumberFormat="1" applyBorder="1"/>
    <xf numFmtId="10" fontId="0" fillId="0" borderId="0" xfId="1" applyNumberFormat="1" applyFont="1" applyBorder="1"/>
    <xf numFmtId="9" fontId="0" fillId="0" borderId="0" xfId="1" applyFont="1" applyBorder="1"/>
    <xf numFmtId="9" fontId="0" fillId="0" borderId="7" xfId="1" applyFont="1" applyBorder="1"/>
    <xf numFmtId="168" fontId="11" fillId="0" borderId="0" xfId="0" applyNumberFormat="1" applyFont="1" applyBorder="1" applyAlignment="1">
      <alignment horizontal="left" vertical="center"/>
    </xf>
    <xf numFmtId="10" fontId="0" fillId="0" borderId="2" xfId="1" applyNumberFormat="1" applyFont="1" applyBorder="1"/>
    <xf numFmtId="165" fontId="0" fillId="0" borderId="2" xfId="1" applyNumberFormat="1" applyFont="1" applyBorder="1"/>
    <xf numFmtId="167" fontId="0" fillId="0" borderId="6" xfId="0" applyNumberFormat="1" applyBorder="1"/>
    <xf numFmtId="0" fontId="6" fillId="0" borderId="8" xfId="0" applyFont="1" applyBorder="1"/>
    <xf numFmtId="0" fontId="6" fillId="0" borderId="0" xfId="0" applyFont="1" applyBorder="1" applyAlignment="1">
      <alignment horizontal="center" wrapText="1"/>
    </xf>
    <xf numFmtId="0" fontId="6" fillId="0" borderId="0" xfId="0" applyFont="1" applyBorder="1" applyAlignment="1">
      <alignment horizontal="center"/>
    </xf>
    <xf numFmtId="0" fontId="0" fillId="0" borderId="0" xfId="0" applyBorder="1" applyAlignment="1">
      <alignment horizontal="center"/>
    </xf>
    <xf numFmtId="164" fontId="0" fillId="0" borderId="0" xfId="0" applyNumberFormat="1" applyBorder="1"/>
    <xf numFmtId="1" fontId="0" fillId="0" borderId="0" xfId="0" applyNumberFormat="1" applyBorder="1" applyAlignment="1">
      <alignment horizontal="center"/>
    </xf>
    <xf numFmtId="1" fontId="0" fillId="0" borderId="2" xfId="0" applyNumberFormat="1" applyBorder="1" applyAlignment="1">
      <alignment horizontal="center"/>
    </xf>
    <xf numFmtId="0" fontId="6" fillId="0" borderId="5" xfId="0" applyFont="1" applyBorder="1" applyAlignment="1">
      <alignment wrapText="1"/>
    </xf>
    <xf numFmtId="0" fontId="6" fillId="0" borderId="3" xfId="0" applyFont="1" applyBorder="1" applyAlignment="1">
      <alignment horizontal="center" wrapText="1"/>
    </xf>
    <xf numFmtId="2" fontId="0" fillId="4" borderId="11" xfId="15" applyNumberFormat="1" applyFont="1" applyBorder="1" applyAlignment="1">
      <alignment horizontal="center"/>
    </xf>
    <xf numFmtId="2" fontId="0" fillId="0" borderId="11" xfId="15" applyNumberFormat="1" applyFont="1" applyFill="1" applyBorder="1" applyAlignment="1">
      <alignment horizontal="center"/>
    </xf>
    <xf numFmtId="2" fontId="0" fillId="0" borderId="0" xfId="0" applyNumberFormat="1" applyBorder="1" applyAlignment="1">
      <alignment horizontal="center"/>
    </xf>
    <xf numFmtId="2" fontId="8" fillId="6" borderId="13" xfId="2" applyNumberFormat="1" applyBorder="1" applyAlignment="1">
      <alignment horizontal="center"/>
    </xf>
    <xf numFmtId="9" fontId="0" fillId="0" borderId="0" xfId="1" applyFont="1" applyBorder="1" applyAlignment="1">
      <alignment horizontal="center"/>
    </xf>
    <xf numFmtId="164" fontId="13" fillId="0" borderId="0" xfId="0" applyNumberFormat="1" applyFont="1" applyBorder="1" applyAlignment="1">
      <alignment horizontal="center"/>
    </xf>
    <xf numFmtId="164" fontId="0" fillId="4" borderId="11" xfId="15" applyNumberFormat="1" applyFont="1" applyBorder="1" applyAlignment="1">
      <alignment horizontal="center"/>
    </xf>
    <xf numFmtId="1" fontId="0" fillId="4" borderId="11" xfId="15" applyNumberFormat="1" applyFont="1" applyBorder="1" applyAlignment="1">
      <alignment horizontal="center"/>
    </xf>
    <xf numFmtId="0" fontId="0" fillId="4" borderId="11" xfId="15" applyFont="1" applyBorder="1" applyAlignment="1">
      <alignment horizontal="center"/>
    </xf>
    <xf numFmtId="0" fontId="6" fillId="4" borderId="16" xfId="15" applyFont="1" applyBorder="1"/>
    <xf numFmtId="9" fontId="0" fillId="4" borderId="11" xfId="15" applyNumberFormat="1" applyFont="1" applyBorder="1" applyAlignment="1">
      <alignment horizontal="center"/>
    </xf>
    <xf numFmtId="164" fontId="0" fillId="0" borderId="0" xfId="0" applyNumberFormat="1" applyBorder="1" applyAlignment="1">
      <alignment horizontal="center"/>
    </xf>
    <xf numFmtId="166" fontId="0" fillId="0" borderId="0" xfId="0" applyNumberFormat="1" applyBorder="1" applyAlignment="1">
      <alignment horizontal="center"/>
    </xf>
    <xf numFmtId="9" fontId="0" fillId="0" borderId="0" xfId="0" applyNumberFormat="1" applyBorder="1" applyAlignment="1">
      <alignment horizontal="center"/>
    </xf>
    <xf numFmtId="166" fontId="0" fillId="0" borderId="2" xfId="0" applyNumberFormat="1" applyBorder="1" applyAlignment="1">
      <alignment horizontal="center"/>
    </xf>
    <xf numFmtId="0" fontId="0" fillId="0" borderId="2" xfId="0" applyBorder="1" applyAlignment="1">
      <alignment horizontal="center"/>
    </xf>
    <xf numFmtId="2" fontId="0" fillId="0" borderId="2" xfId="0" applyNumberFormat="1" applyBorder="1" applyAlignment="1">
      <alignment horizontal="center"/>
    </xf>
    <xf numFmtId="9" fontId="0" fillId="0" borderId="2" xfId="0" applyNumberFormat="1" applyBorder="1" applyAlignment="1">
      <alignment horizontal="center"/>
    </xf>
    <xf numFmtId="0" fontId="35" fillId="0" borderId="0" xfId="0" applyFont="1" applyBorder="1" applyProtection="1">
      <protection hidden="1"/>
    </xf>
    <xf numFmtId="0" fontId="37" fillId="0" borderId="0" xfId="0" applyFont="1" applyBorder="1" applyAlignment="1" applyProtection="1">
      <alignment horizontal="right"/>
      <protection hidden="1"/>
    </xf>
    <xf numFmtId="0" fontId="38" fillId="0" borderId="0" xfId="10" applyFont="1" applyBorder="1" applyProtection="1">
      <protection hidden="1"/>
    </xf>
    <xf numFmtId="0" fontId="32" fillId="0" borderId="0" xfId="0" applyFont="1" applyBorder="1" applyAlignment="1" applyProtection="1">
      <alignment horizontal="right" wrapText="1"/>
      <protection hidden="1"/>
    </xf>
    <xf numFmtId="0" fontId="5" fillId="0" borderId="0" xfId="0" applyFont="1" applyBorder="1" applyAlignment="1" applyProtection="1">
      <alignment horizontal="left"/>
      <protection hidden="1"/>
    </xf>
    <xf numFmtId="0" fontId="35" fillId="0" borderId="17" xfId="0" applyFont="1" applyBorder="1" applyProtection="1">
      <protection hidden="1"/>
    </xf>
    <xf numFmtId="0" fontId="34" fillId="0" borderId="17" xfId="0" applyFont="1" applyBorder="1" applyProtection="1">
      <protection hidden="1"/>
    </xf>
    <xf numFmtId="0" fontId="36" fillId="0" borderId="0" xfId="0" applyFont="1" applyBorder="1" applyProtection="1">
      <protection hidden="1"/>
    </xf>
    <xf numFmtId="0" fontId="37" fillId="0" borderId="0" xfId="0" applyFont="1" applyBorder="1" applyProtection="1">
      <protection hidden="1"/>
    </xf>
    <xf numFmtId="0" fontId="10" fillId="9" borderId="20" xfId="2" applyFont="1" applyFill="1" applyBorder="1" applyAlignment="1" applyProtection="1">
      <alignment horizontal="right" vertical="center"/>
      <protection locked="0"/>
    </xf>
    <xf numFmtId="0" fontId="10" fillId="9" borderId="21" xfId="2" applyFont="1" applyFill="1" applyBorder="1" applyAlignment="1" applyProtection="1">
      <alignment horizontal="right" vertical="center"/>
      <protection locked="0"/>
    </xf>
    <xf numFmtId="2" fontId="10" fillId="9" borderId="21" xfId="2" applyNumberFormat="1" applyFont="1" applyFill="1" applyBorder="1" applyAlignment="1" applyProtection="1">
      <alignment horizontal="right" vertical="center"/>
      <protection locked="0"/>
    </xf>
    <xf numFmtId="166" fontId="10" fillId="9" borderId="21" xfId="2" applyNumberFormat="1" applyFont="1" applyFill="1" applyBorder="1" applyAlignment="1" applyProtection="1">
      <alignment horizontal="right" vertical="center"/>
      <protection locked="0"/>
    </xf>
    <xf numFmtId="2" fontId="10" fillId="9" borderId="21" xfId="2" applyNumberFormat="1" applyFont="1" applyFill="1" applyBorder="1" applyAlignment="1" applyProtection="1">
      <alignment horizontal="left" vertical="center"/>
      <protection locked="0"/>
    </xf>
    <xf numFmtId="1" fontId="10" fillId="9" borderId="21" xfId="2" applyNumberFormat="1" applyFont="1" applyFill="1" applyBorder="1" applyAlignment="1" applyProtection="1">
      <alignment horizontal="right" vertical="center"/>
      <protection locked="0"/>
    </xf>
    <xf numFmtId="166" fontId="10" fillId="9" borderId="20" xfId="2" applyNumberFormat="1" applyFont="1" applyFill="1" applyBorder="1" applyAlignment="1" applyProtection="1">
      <alignment horizontal="right" vertical="center"/>
      <protection locked="0"/>
    </xf>
    <xf numFmtId="2" fontId="10" fillId="9" borderId="20" xfId="2" applyNumberFormat="1" applyFont="1" applyFill="1" applyBorder="1" applyAlignment="1" applyProtection="1">
      <alignment horizontal="right" vertical="center"/>
      <protection locked="0"/>
    </xf>
    <xf numFmtId="0" fontId="4" fillId="0" borderId="0" xfId="0" applyFont="1" applyBorder="1" applyAlignment="1" applyProtection="1">
      <alignment horizontal="left" wrapText="1"/>
      <protection hidden="1"/>
    </xf>
    <xf numFmtId="0" fontId="10" fillId="9" borderId="28" xfId="2" applyFont="1" applyFill="1" applyBorder="1" applyAlignment="1" applyProtection="1">
      <alignment horizontal="left" vertical="center"/>
      <protection locked="0"/>
    </xf>
    <xf numFmtId="1" fontId="10" fillId="0" borderId="29" xfId="2" applyNumberFormat="1" applyFont="1" applyFill="1" applyBorder="1" applyAlignment="1" applyProtection="1">
      <alignment horizontal="right" vertical="center"/>
      <protection hidden="1"/>
    </xf>
    <xf numFmtId="0" fontId="0" fillId="0" borderId="5" xfId="0" applyBorder="1" applyProtection="1">
      <protection hidden="1"/>
    </xf>
    <xf numFmtId="0" fontId="0" fillId="0" borderId="3" xfId="0" applyBorder="1" applyProtection="1">
      <protection hidden="1"/>
    </xf>
    <xf numFmtId="0" fontId="0" fillId="0" borderId="9" xfId="0" applyBorder="1" applyProtection="1">
      <protection hidden="1"/>
    </xf>
    <xf numFmtId="0" fontId="0" fillId="0" borderId="0" xfId="0" applyProtection="1">
      <protection hidden="1"/>
    </xf>
    <xf numFmtId="0" fontId="0" fillId="0" borderId="8" xfId="0" applyBorder="1" applyProtection="1">
      <protection hidden="1"/>
    </xf>
    <xf numFmtId="0" fontId="0" fillId="0" borderId="0" xfId="0" applyBorder="1" applyProtection="1">
      <protection hidden="1"/>
    </xf>
    <xf numFmtId="0" fontId="0" fillId="0" borderId="7" xfId="0" applyBorder="1" applyProtection="1">
      <protection hidden="1"/>
    </xf>
    <xf numFmtId="0" fontId="0" fillId="0" borderId="4" xfId="0" applyBorder="1" applyProtection="1">
      <protection hidden="1"/>
    </xf>
    <xf numFmtId="0" fontId="0" fillId="0" borderId="2" xfId="0" applyBorder="1" applyProtection="1">
      <protection hidden="1"/>
    </xf>
    <xf numFmtId="0" fontId="0" fillId="0" borderId="6" xfId="0" applyBorder="1" applyProtection="1">
      <protection hidden="1"/>
    </xf>
    <xf numFmtId="0" fontId="21" fillId="0" borderId="3" xfId="0" applyFont="1" applyBorder="1" applyAlignment="1" applyProtection="1">
      <alignment horizontal="right"/>
      <protection hidden="1"/>
    </xf>
    <xf numFmtId="0" fontId="21" fillId="0" borderId="0" xfId="0" applyFont="1" applyBorder="1" applyAlignment="1" applyProtection="1">
      <alignment horizontal="right"/>
      <protection hidden="1"/>
    </xf>
    <xf numFmtId="0" fontId="9" fillId="0" borderId="0" xfId="0" applyFont="1" applyBorder="1" applyProtection="1">
      <protection hidden="1"/>
    </xf>
    <xf numFmtId="0" fontId="15" fillId="0" borderId="2" xfId="0" applyFont="1" applyBorder="1" applyAlignment="1" applyProtection="1">
      <alignment horizontal="right"/>
      <protection hidden="1"/>
    </xf>
    <xf numFmtId="0" fontId="22" fillId="0" borderId="5" xfId="0" applyFont="1" applyBorder="1" applyProtection="1">
      <protection hidden="1"/>
    </xf>
    <xf numFmtId="0" fontId="9" fillId="0" borderId="3" xfId="0" applyFont="1" applyBorder="1" applyProtection="1">
      <protection hidden="1"/>
    </xf>
    <xf numFmtId="0" fontId="21" fillId="0" borderId="5" xfId="0" applyFont="1" applyBorder="1" applyAlignment="1" applyProtection="1">
      <alignment horizontal="right" vertical="center"/>
      <protection hidden="1"/>
    </xf>
    <xf numFmtId="0" fontId="23" fillId="0" borderId="3" xfId="2" applyFont="1" applyFill="1" applyBorder="1" applyAlignment="1" applyProtection="1">
      <alignment horizontal="left" vertical="center"/>
      <protection hidden="1"/>
    </xf>
    <xf numFmtId="0" fontId="9" fillId="0" borderId="8" xfId="0" applyFont="1" applyBorder="1" applyProtection="1">
      <protection hidden="1"/>
    </xf>
    <xf numFmtId="0" fontId="9" fillId="0" borderId="8" xfId="0" applyFont="1" applyBorder="1" applyAlignment="1" applyProtection="1">
      <alignment horizontal="right" vertical="center"/>
      <protection hidden="1"/>
    </xf>
    <xf numFmtId="0" fontId="21" fillId="0" borderId="0" xfId="0" applyFont="1" applyBorder="1" applyAlignment="1" applyProtection="1">
      <alignment horizontal="right" vertical="center"/>
      <protection hidden="1"/>
    </xf>
    <xf numFmtId="0" fontId="13" fillId="0" borderId="0" xfId="0" applyFont="1" applyBorder="1" applyProtection="1">
      <protection hidden="1"/>
    </xf>
    <xf numFmtId="0" fontId="10" fillId="0" borderId="0" xfId="0" applyFont="1" applyBorder="1" applyProtection="1">
      <protection hidden="1"/>
    </xf>
    <xf numFmtId="0" fontId="9" fillId="0" borderId="4" xfId="0" applyFont="1" applyBorder="1" applyProtection="1">
      <protection hidden="1"/>
    </xf>
    <xf numFmtId="0" fontId="21" fillId="0" borderId="2" xfId="0" applyFont="1" applyBorder="1" applyAlignment="1" applyProtection="1">
      <alignment horizontal="right"/>
      <protection hidden="1"/>
    </xf>
    <xf numFmtId="0" fontId="23" fillId="0" borderId="2" xfId="2" applyFont="1" applyFill="1" applyBorder="1" applyAlignment="1" applyProtection="1">
      <alignment horizontal="right" vertical="center"/>
      <protection hidden="1"/>
    </xf>
    <xf numFmtId="0" fontId="10" fillId="0" borderId="2" xfId="0" applyFont="1" applyBorder="1" applyProtection="1">
      <protection hidden="1"/>
    </xf>
    <xf numFmtId="0" fontId="9" fillId="0" borderId="2" xfId="0" applyFont="1" applyBorder="1" applyProtection="1">
      <protection hidden="1"/>
    </xf>
    <xf numFmtId="0" fontId="10" fillId="0" borderId="3" xfId="0" applyFont="1" applyBorder="1" applyProtection="1">
      <protection hidden="1"/>
    </xf>
    <xf numFmtId="0" fontId="22" fillId="0" borderId="0" xfId="0" applyFont="1" applyBorder="1" applyAlignment="1" applyProtection="1">
      <alignment horizontal="left" vertical="center"/>
      <protection hidden="1"/>
    </xf>
    <xf numFmtId="49" fontId="9" fillId="0" borderId="10" xfId="0" applyNumberFormat="1" applyFont="1" applyBorder="1" applyProtection="1">
      <protection hidden="1"/>
    </xf>
    <xf numFmtId="165" fontId="9" fillId="0" borderId="10" xfId="1" applyNumberFormat="1" applyFont="1" applyBorder="1" applyAlignment="1" applyProtection="1">
      <alignment horizontal="center"/>
      <protection hidden="1"/>
    </xf>
    <xf numFmtId="0" fontId="35" fillId="0" borderId="4" xfId="0" applyFont="1" applyBorder="1" applyAlignment="1" applyProtection="1">
      <alignment horizontal="left" wrapText="1"/>
      <protection hidden="1"/>
    </xf>
    <xf numFmtId="0" fontId="35" fillId="0" borderId="2" xfId="0" applyFont="1" applyBorder="1" applyAlignment="1" applyProtection="1">
      <alignment horizontal="left" wrapText="1"/>
      <protection hidden="1"/>
    </xf>
    <xf numFmtId="0" fontId="35" fillId="0" borderId="6" xfId="0" applyFont="1" applyBorder="1" applyAlignment="1" applyProtection="1">
      <alignment horizontal="left" wrapText="1"/>
      <protection hidden="1"/>
    </xf>
    <xf numFmtId="0" fontId="21" fillId="0" borderId="8" xfId="0" applyFont="1" applyBorder="1" applyAlignment="1" applyProtection="1">
      <alignment horizontal="right"/>
      <protection hidden="1"/>
    </xf>
    <xf numFmtId="2" fontId="9" fillId="0" borderId="0" xfId="0" applyNumberFormat="1" applyFont="1" applyBorder="1" applyProtection="1">
      <protection hidden="1"/>
    </xf>
    <xf numFmtId="0" fontId="24" fillId="0" borderId="5" xfId="0" applyFont="1" applyBorder="1" applyProtection="1">
      <protection hidden="1"/>
    </xf>
    <xf numFmtId="0" fontId="35" fillId="0" borderId="3" xfId="0" applyFont="1" applyBorder="1" applyProtection="1">
      <protection hidden="1"/>
    </xf>
    <xf numFmtId="0" fontId="35" fillId="0" borderId="9" xfId="0" applyFont="1" applyBorder="1" applyProtection="1">
      <protection hidden="1"/>
    </xf>
    <xf numFmtId="0" fontId="9" fillId="0" borderId="10" xfId="0" applyFont="1" applyBorder="1" applyProtection="1">
      <protection hidden="1"/>
    </xf>
    <xf numFmtId="165" fontId="9" fillId="0" borderId="10" xfId="1" applyNumberFormat="1" applyFont="1" applyFill="1" applyBorder="1" applyAlignment="1" applyProtection="1">
      <alignment horizontal="center"/>
      <protection hidden="1"/>
    </xf>
    <xf numFmtId="0" fontId="9" fillId="0" borderId="10" xfId="0" applyFont="1" applyBorder="1" applyAlignment="1" applyProtection="1">
      <alignment horizontal="center" vertical="center"/>
      <protection hidden="1"/>
    </xf>
    <xf numFmtId="0" fontId="0" fillId="0" borderId="10" xfId="0" applyBorder="1" applyProtection="1">
      <protection hidden="1"/>
    </xf>
    <xf numFmtId="0" fontId="25" fillId="0" borderId="8" xfId="0" applyFont="1" applyBorder="1" applyProtection="1">
      <protection hidden="1"/>
    </xf>
    <xf numFmtId="0" fontId="35" fillId="0" borderId="7" xfId="0" applyFont="1" applyBorder="1" applyProtection="1">
      <protection hidden="1"/>
    </xf>
    <xf numFmtId="0" fontId="25" fillId="0" borderId="4" xfId="0" applyFont="1" applyBorder="1" applyProtection="1">
      <protection hidden="1"/>
    </xf>
    <xf numFmtId="49" fontId="9" fillId="0" borderId="3" xfId="0" applyNumberFormat="1" applyFont="1" applyBorder="1" applyProtection="1">
      <protection hidden="1"/>
    </xf>
    <xf numFmtId="0" fontId="9" fillId="0" borderId="3" xfId="0" applyFont="1" applyBorder="1" applyAlignment="1" applyProtection="1">
      <alignment horizontal="center" vertical="center"/>
      <protection hidden="1"/>
    </xf>
    <xf numFmtId="0" fontId="26" fillId="0" borderId="8" xfId="9" applyFont="1" applyFill="1" applyBorder="1" applyAlignment="1" applyProtection="1">
      <alignment horizontal="right"/>
      <protection hidden="1"/>
    </xf>
    <xf numFmtId="0" fontId="9" fillId="0" borderId="0" xfId="0" applyFont="1" applyFill="1" applyBorder="1" applyProtection="1">
      <protection hidden="1"/>
    </xf>
    <xf numFmtId="0" fontId="10" fillId="0" borderId="0" xfId="9" applyFont="1" applyFill="1" applyBorder="1" applyProtection="1">
      <protection hidden="1"/>
    </xf>
    <xf numFmtId="0" fontId="26" fillId="0" borderId="0" xfId="9" applyFont="1" applyFill="1" applyBorder="1" applyAlignment="1" applyProtection="1">
      <alignment horizontal="right"/>
      <protection hidden="1"/>
    </xf>
    <xf numFmtId="0" fontId="27" fillId="0" borderId="0" xfId="9" applyFont="1" applyFill="1" applyBorder="1" applyProtection="1">
      <protection hidden="1"/>
    </xf>
    <xf numFmtId="0" fontId="10" fillId="0" borderId="0" xfId="9" applyFont="1" applyFill="1" applyBorder="1" applyAlignment="1" applyProtection="1">
      <alignment horizontal="left"/>
      <protection hidden="1"/>
    </xf>
    <xf numFmtId="0" fontId="21" fillId="0" borderId="8" xfId="0" applyFont="1" applyBorder="1" applyAlignment="1" applyProtection="1">
      <alignment horizontal="right" vertical="center"/>
      <protection hidden="1"/>
    </xf>
    <xf numFmtId="0" fontId="10" fillId="0" borderId="0" xfId="9" applyFont="1" applyFill="1" applyBorder="1" applyAlignment="1" applyProtection="1">
      <alignment horizontal="right"/>
      <protection hidden="1"/>
    </xf>
    <xf numFmtId="166" fontId="29" fillId="0" borderId="0" xfId="9" applyNumberFormat="1" applyFont="1" applyFill="1" applyBorder="1" applyProtection="1">
      <protection hidden="1"/>
    </xf>
    <xf numFmtId="49" fontId="30" fillId="0" borderId="5" xfId="9" applyNumberFormat="1" applyFont="1" applyFill="1" applyBorder="1" applyAlignment="1" applyProtection="1">
      <alignment horizontal="left"/>
      <protection hidden="1"/>
    </xf>
    <xf numFmtId="0" fontId="31" fillId="0" borderId="3" xfId="0" applyNumberFormat="1" applyFont="1" applyBorder="1" applyAlignment="1" applyProtection="1">
      <alignment horizontal="left"/>
      <protection hidden="1"/>
    </xf>
    <xf numFmtId="0" fontId="0" fillId="0" borderId="0" xfId="0" applyFont="1" applyFill="1" applyBorder="1" applyAlignment="1" applyProtection="1">
      <alignment horizontal="left" vertical="top"/>
      <protection hidden="1"/>
    </xf>
    <xf numFmtId="0" fontId="9" fillId="0" borderId="0" xfId="0" applyFont="1" applyBorder="1" applyAlignment="1" applyProtection="1">
      <alignment horizontal="center"/>
      <protection hidden="1"/>
    </xf>
    <xf numFmtId="165" fontId="9" fillId="0" borderId="0" xfId="1" applyNumberFormat="1" applyFont="1" applyBorder="1" applyAlignment="1" applyProtection="1">
      <alignment horizontal="center"/>
      <protection hidden="1"/>
    </xf>
    <xf numFmtId="0" fontId="40" fillId="7" borderId="18" xfId="16" applyFont="1" applyFill="1" applyBorder="1" applyAlignment="1" applyProtection="1">
      <alignment horizontal="center" vertical="center"/>
      <protection locked="0"/>
    </xf>
    <xf numFmtId="0" fontId="25" fillId="0" borderId="2" xfId="0" applyFont="1" applyBorder="1" applyProtection="1">
      <protection hidden="1"/>
    </xf>
    <xf numFmtId="2" fontId="10" fillId="9" borderId="20" xfId="2" applyNumberFormat="1" applyFont="1" applyFill="1" applyBorder="1" applyAlignment="1" applyProtection="1">
      <alignment horizontal="left" vertical="center"/>
      <protection locked="0"/>
    </xf>
    <xf numFmtId="0" fontId="9" fillId="0" borderId="8" xfId="0" applyFont="1" applyBorder="1" applyProtection="1">
      <protection hidden="1"/>
    </xf>
    <xf numFmtId="0" fontId="9" fillId="0" borderId="7" xfId="0" applyFont="1" applyBorder="1" applyProtection="1">
      <protection hidden="1"/>
    </xf>
    <xf numFmtId="0" fontId="9" fillId="0" borderId="4" xfId="0" applyFont="1" applyBorder="1" applyProtection="1">
      <protection hidden="1"/>
    </xf>
    <xf numFmtId="0" fontId="9" fillId="0" borderId="6" xfId="0" applyFont="1" applyBorder="1" applyProtection="1">
      <protection hidden="1"/>
    </xf>
    <xf numFmtId="0" fontId="33" fillId="11" borderId="10" xfId="0" applyFont="1" applyFill="1" applyBorder="1" applyAlignment="1" applyProtection="1">
      <alignment horizontal="center" vertical="center" wrapText="1"/>
      <protection hidden="1"/>
    </xf>
    <xf numFmtId="0" fontId="28" fillId="5" borderId="5" xfId="0" applyFont="1" applyFill="1" applyBorder="1" applyAlignment="1" applyProtection="1">
      <alignment horizontal="center" wrapText="1"/>
      <protection hidden="1"/>
    </xf>
    <xf numFmtId="0" fontId="28" fillId="5" borderId="9" xfId="0" applyFont="1" applyFill="1" applyBorder="1" applyAlignment="1" applyProtection="1">
      <alignment horizontal="center" wrapText="1"/>
      <protection hidden="1"/>
    </xf>
    <xf numFmtId="0" fontId="28" fillId="5" borderId="8" xfId="0" applyFont="1" applyFill="1" applyBorder="1" applyAlignment="1" applyProtection="1">
      <alignment horizontal="center" wrapText="1"/>
      <protection hidden="1"/>
    </xf>
    <xf numFmtId="0" fontId="28" fillId="5" borderId="7" xfId="0" applyFont="1" applyFill="1" applyBorder="1" applyAlignment="1" applyProtection="1">
      <alignment horizontal="center" wrapText="1"/>
      <protection hidden="1"/>
    </xf>
    <xf numFmtId="0" fontId="37" fillId="0" borderId="5" xfId="0" applyFont="1" applyBorder="1" applyAlignment="1" applyProtection="1">
      <alignment horizontal="left" wrapText="1"/>
      <protection hidden="1"/>
    </xf>
    <xf numFmtId="0" fontId="37" fillId="0" borderId="3" xfId="0" applyFont="1" applyBorder="1" applyAlignment="1" applyProtection="1">
      <alignment horizontal="left" wrapText="1"/>
      <protection hidden="1"/>
    </xf>
    <xf numFmtId="0" fontId="37" fillId="0" borderId="9" xfId="0" applyFont="1" applyBorder="1" applyAlignment="1" applyProtection="1">
      <alignment horizontal="left" wrapText="1"/>
      <protection hidden="1"/>
    </xf>
    <xf numFmtId="0" fontId="37" fillId="0" borderId="4" xfId="0" applyFont="1" applyBorder="1" applyAlignment="1" applyProtection="1">
      <alignment horizontal="left" wrapText="1"/>
      <protection hidden="1"/>
    </xf>
    <xf numFmtId="0" fontId="37" fillId="0" borderId="2" xfId="0" applyFont="1" applyBorder="1" applyAlignment="1" applyProtection="1">
      <alignment horizontal="left" wrapText="1"/>
      <protection hidden="1"/>
    </xf>
    <xf numFmtId="0" fontId="37" fillId="0" borderId="6" xfId="0" applyFont="1" applyBorder="1" applyAlignment="1" applyProtection="1">
      <alignment horizontal="left" wrapText="1"/>
      <protection hidden="1"/>
    </xf>
    <xf numFmtId="49" fontId="10" fillId="9" borderId="20" xfId="2" applyNumberFormat="1" applyFont="1" applyFill="1" applyBorder="1" applyAlignment="1" applyProtection="1">
      <alignment horizontal="left" vertical="center"/>
      <protection locked="0"/>
    </xf>
    <xf numFmtId="0" fontId="4" fillId="0" borderId="0" xfId="0" applyFont="1" applyBorder="1" applyAlignment="1" applyProtection="1">
      <alignment horizontal="left" wrapText="1"/>
      <protection hidden="1"/>
    </xf>
    <xf numFmtId="0" fontId="4" fillId="0" borderId="0" xfId="0" applyFont="1" applyAlignment="1" applyProtection="1">
      <alignment horizontal="left"/>
      <protection hidden="1"/>
    </xf>
    <xf numFmtId="0" fontId="3" fillId="0" borderId="0" xfId="0" applyFont="1" applyAlignment="1" applyProtection="1">
      <alignment horizontal="left"/>
      <protection hidden="1"/>
    </xf>
    <xf numFmtId="0" fontId="3" fillId="0" borderId="0" xfId="0" applyFont="1" applyBorder="1" applyAlignment="1" applyProtection="1">
      <alignment horizontal="left" wrapText="1"/>
      <protection hidden="1"/>
    </xf>
    <xf numFmtId="0" fontId="9" fillId="0" borderId="10" xfId="0" applyFont="1" applyBorder="1" applyAlignment="1" applyProtection="1">
      <alignment horizontal="center" vertical="center"/>
      <protection hidden="1"/>
    </xf>
    <xf numFmtId="0" fontId="35" fillId="0" borderId="5" xfId="0" applyFont="1" applyBorder="1" applyAlignment="1" applyProtection="1">
      <alignment horizontal="left" wrapText="1"/>
      <protection hidden="1"/>
    </xf>
    <xf numFmtId="0" fontId="35" fillId="0" borderId="3" xfId="0" applyFont="1" applyBorder="1" applyAlignment="1" applyProtection="1">
      <alignment horizontal="left" wrapText="1"/>
      <protection hidden="1"/>
    </xf>
    <xf numFmtId="0" fontId="35" fillId="0" borderId="9" xfId="0" applyFont="1" applyBorder="1" applyAlignment="1" applyProtection="1">
      <alignment horizontal="left" wrapText="1"/>
      <protection hidden="1"/>
    </xf>
    <xf numFmtId="0" fontId="10" fillId="9" borderId="21" xfId="2" applyFont="1" applyFill="1" applyBorder="1" applyAlignment="1" applyProtection="1">
      <alignment horizontal="right" vertical="center"/>
      <protection locked="0"/>
    </xf>
    <xf numFmtId="0" fontId="33" fillId="5" borderId="10" xfId="0" applyFont="1" applyFill="1" applyBorder="1" applyAlignment="1" applyProtection="1">
      <alignment horizontal="center" vertical="center" wrapText="1"/>
      <protection hidden="1"/>
    </xf>
    <xf numFmtId="0" fontId="2" fillId="9" borderId="25" xfId="0" applyFont="1" applyFill="1" applyBorder="1" applyProtection="1">
      <protection locked="0"/>
    </xf>
    <xf numFmtId="0" fontId="3" fillId="9" borderId="25" xfId="0" applyFont="1" applyFill="1" applyBorder="1" applyProtection="1">
      <protection locked="0"/>
    </xf>
    <xf numFmtId="0" fontId="3" fillId="9" borderId="19" xfId="0" applyFont="1" applyFill="1" applyBorder="1" applyProtection="1">
      <protection locked="0"/>
    </xf>
    <xf numFmtId="0" fontId="3" fillId="9" borderId="26" xfId="0" applyFont="1" applyFill="1" applyBorder="1" applyProtection="1">
      <protection locked="0"/>
    </xf>
    <xf numFmtId="0" fontId="3" fillId="9" borderId="30" xfId="0" applyFont="1" applyFill="1" applyBorder="1" applyProtection="1">
      <protection locked="0"/>
    </xf>
    <xf numFmtId="0" fontId="3" fillId="9" borderId="31" xfId="0" applyFont="1" applyFill="1" applyBorder="1" applyProtection="1">
      <protection locked="0"/>
    </xf>
    <xf numFmtId="49" fontId="27" fillId="0" borderId="22" xfId="9" applyNumberFormat="1" applyFont="1" applyFill="1" applyBorder="1" applyAlignment="1" applyProtection="1">
      <alignment horizontal="left"/>
      <protection locked="0"/>
    </xf>
    <xf numFmtId="49" fontId="27" fillId="0" borderId="19" xfId="9" applyNumberFormat="1" applyFont="1" applyFill="1" applyBorder="1" applyAlignment="1" applyProtection="1">
      <alignment horizontal="left"/>
      <protection locked="0"/>
    </xf>
    <xf numFmtId="49" fontId="27" fillId="0" borderId="27" xfId="9" applyNumberFormat="1" applyFont="1" applyFill="1" applyBorder="1" applyAlignment="1" applyProtection="1">
      <alignment horizontal="left"/>
      <protection locked="0"/>
    </xf>
    <xf numFmtId="0" fontId="9" fillId="0" borderId="4" xfId="0" applyFont="1" applyFill="1" applyBorder="1" applyAlignment="1" applyProtection="1">
      <alignment horizontal="left" vertical="top"/>
      <protection locked="0"/>
    </xf>
    <xf numFmtId="0" fontId="9" fillId="0" borderId="2" xfId="0" applyFont="1" applyFill="1" applyBorder="1" applyAlignment="1" applyProtection="1">
      <alignment horizontal="left" vertical="top"/>
      <protection locked="0"/>
    </xf>
    <xf numFmtId="0" fontId="9" fillId="0" borderId="6" xfId="0" applyFont="1" applyFill="1" applyBorder="1" applyAlignment="1" applyProtection="1">
      <alignment horizontal="left" vertical="top"/>
      <protection locked="0"/>
    </xf>
    <xf numFmtId="0" fontId="10" fillId="9" borderId="20" xfId="2" applyFont="1" applyFill="1" applyBorder="1" applyAlignment="1" applyProtection="1">
      <alignment horizontal="left" vertical="center"/>
      <protection locked="0"/>
    </xf>
    <xf numFmtId="49" fontId="10" fillId="9" borderId="20" xfId="2" applyNumberFormat="1" applyFont="1" applyFill="1" applyBorder="1" applyAlignment="1" applyProtection="1">
      <alignment horizontal="center" vertical="center"/>
      <protection locked="0"/>
    </xf>
    <xf numFmtId="0" fontId="33" fillId="10" borderId="23" xfId="0" applyFont="1" applyFill="1" applyBorder="1" applyAlignment="1" applyProtection="1">
      <alignment horizontal="center" vertical="center" wrapText="1"/>
      <protection hidden="1"/>
    </xf>
    <xf numFmtId="0" fontId="33" fillId="10" borderId="24" xfId="0" applyFont="1" applyFill="1" applyBorder="1" applyAlignment="1" applyProtection="1">
      <alignment horizontal="center" vertical="center" wrapText="1"/>
      <protection hidden="1"/>
    </xf>
    <xf numFmtId="0" fontId="33" fillId="10" borderId="14" xfId="0" applyFont="1" applyFill="1" applyBorder="1" applyAlignment="1" applyProtection="1">
      <alignment horizontal="center" vertical="center" wrapText="1"/>
      <protection hidden="1"/>
    </xf>
    <xf numFmtId="0" fontId="0" fillId="0" borderId="0" xfId="0" applyAlignment="1">
      <alignment horizontal="center" wrapText="1"/>
    </xf>
  </cellXfs>
  <cellStyles count="17">
    <cellStyle name="Bad" xfId="9" builtinId="27"/>
    <cellStyle name="Calculation" xfId="16" builtinId="22"/>
    <cellStyle name="Good" xfId="14" builtinId="26"/>
    <cellStyle name="Hyperlink" xfId="10" builtinId="8"/>
    <cellStyle name="Input" xfId="2" builtinId="20" customBuiltin="1"/>
    <cellStyle name="Normal" xfId="0" builtinId="0"/>
    <cellStyle name="Normal 2" xfId="4" xr:uid="{00000000-0005-0000-0000-000006000000}"/>
    <cellStyle name="Normal 2 2" xfId="11" xr:uid="{00000000-0005-0000-0000-000007000000}"/>
    <cellStyle name="Normal 3" xfId="3" xr:uid="{00000000-0005-0000-0000-000008000000}"/>
    <cellStyle name="Normal 3 2" xfId="13" xr:uid="{00000000-0005-0000-0000-000009000000}"/>
    <cellStyle name="Normal 4" xfId="8" xr:uid="{00000000-0005-0000-0000-00000A000000}"/>
    <cellStyle name="Note" xfId="15" builtinId="10"/>
    <cellStyle name="Percent" xfId="1" builtinId="5"/>
    <cellStyle name="Percent 2" xfId="7" xr:uid="{00000000-0005-0000-0000-00000D000000}"/>
    <cellStyle name="Percent 2 2" xfId="12" xr:uid="{00000000-0005-0000-0000-00000E000000}"/>
    <cellStyle name="Percent 3" xfId="5" xr:uid="{00000000-0005-0000-0000-00000F000000}"/>
    <cellStyle name="Percent 3 2" xfId="6" xr:uid="{00000000-0005-0000-0000-000010000000}"/>
  </cellStyles>
  <dxfs count="1">
    <dxf>
      <font>
        <color theme="0" tint="-0.3499862666707357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1"/>
            <c:trendlineLbl>
              <c:layout>
                <c:manualLayout>
                  <c:x val="-0.13956517935258092"/>
                  <c:y val="0.29195137066200061"/>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WQFCalc!$D$111:$D$115</c:f>
              <c:numCache>
                <c:formatCode>General</c:formatCode>
                <c:ptCount val="5"/>
                <c:pt idx="0">
                  <c:v>4</c:v>
                </c:pt>
                <c:pt idx="1">
                  <c:v>6</c:v>
                </c:pt>
                <c:pt idx="2">
                  <c:v>8</c:v>
                </c:pt>
                <c:pt idx="3">
                  <c:v>10</c:v>
                </c:pt>
                <c:pt idx="4">
                  <c:v>12</c:v>
                </c:pt>
              </c:numCache>
            </c:numRef>
          </c:xVal>
          <c:yVal>
            <c:numRef>
              <c:f>WQFCalc!$E$111:$E$115</c:f>
              <c:numCache>
                <c:formatCode>General</c:formatCode>
                <c:ptCount val="5"/>
                <c:pt idx="0">
                  <c:v>12</c:v>
                </c:pt>
                <c:pt idx="1">
                  <c:v>14</c:v>
                </c:pt>
                <c:pt idx="2">
                  <c:v>14</c:v>
                </c:pt>
                <c:pt idx="3">
                  <c:v>16</c:v>
                </c:pt>
                <c:pt idx="4">
                  <c:v>16</c:v>
                </c:pt>
              </c:numCache>
            </c:numRef>
          </c:yVal>
          <c:smooth val="0"/>
          <c:extLst>
            <c:ext xmlns:c16="http://schemas.microsoft.com/office/drawing/2014/chart" uri="{C3380CC4-5D6E-409C-BE32-E72D297353CC}">
              <c16:uniqueId val="{00000001-9B4C-4CF3-860B-C3E800B97D48}"/>
            </c:ext>
          </c:extLst>
        </c:ser>
        <c:dLbls>
          <c:showLegendKey val="0"/>
          <c:showVal val="0"/>
          <c:showCatName val="0"/>
          <c:showSerName val="0"/>
          <c:showPercent val="0"/>
          <c:showBubbleSize val="0"/>
        </c:dLbls>
        <c:axId val="815000816"/>
        <c:axId val="1011145968"/>
      </c:scatterChart>
      <c:valAx>
        <c:axId val="81500081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11145968"/>
        <c:crosses val="autoZero"/>
        <c:crossBetween val="midCat"/>
      </c:valAx>
      <c:valAx>
        <c:axId val="10111459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5000816"/>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ti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hyperlink" Target="http://www.hydro-int.com/us/contact" TargetMode="External"/><Relationship Id="rId2" Type="http://schemas.openxmlformats.org/officeDocument/2006/relationships/image" Target="../media/image2.tif"/><Relationship Id="rId1" Type="http://schemas.openxmlformats.org/officeDocument/2006/relationships/hyperlink" Target="http://www.hydro-int.com/us/" TargetMode="External"/><Relationship Id="rId6" Type="http://schemas.openxmlformats.org/officeDocument/2006/relationships/image" Target="../media/image6.png"/><Relationship Id="rId5" Type="http://schemas.openxmlformats.org/officeDocument/2006/relationships/hyperlink" Target="https://www.youtube.com/user/hydrointernationaltv" TargetMode="External"/><Relationship Id="rId4" Type="http://schemas.openxmlformats.org/officeDocument/2006/relationships/image" Target="../media/image5.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0</xdr:col>
      <xdr:colOff>9263</xdr:colOff>
      <xdr:row>47</xdr:row>
      <xdr:rowOff>73652</xdr:rowOff>
    </xdr:from>
    <xdr:to>
      <xdr:col>11</xdr:col>
      <xdr:colOff>560916</xdr:colOff>
      <xdr:row>93</xdr:row>
      <xdr:rowOff>145523</xdr:rowOff>
    </xdr:to>
    <xdr:pic>
      <xdr:nvPicPr>
        <xdr:cNvPr id="10" name="Picture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63" y="8984819"/>
          <a:ext cx="6986320" cy="8834871"/>
        </a:xfrm>
        <a:prstGeom prst="rect">
          <a:avLst/>
        </a:prstGeom>
        <a:ln w="15875">
          <a:solidFill>
            <a:schemeClr val="tx1"/>
          </a:solidFill>
        </a:ln>
      </xdr:spPr>
    </xdr:pic>
    <xdr:clientData/>
  </xdr:twoCellAnchor>
  <xdr:twoCellAnchor>
    <xdr:from>
      <xdr:col>7</xdr:col>
      <xdr:colOff>185210</xdr:colOff>
      <xdr:row>65</xdr:row>
      <xdr:rowOff>179917</xdr:rowOff>
    </xdr:from>
    <xdr:to>
      <xdr:col>8</xdr:col>
      <xdr:colOff>141818</xdr:colOff>
      <xdr:row>66</xdr:row>
      <xdr:rowOff>179917</xdr:rowOff>
    </xdr:to>
    <xdr:sp macro="" textlink="WQFCalc!H54">
      <xdr:nvSpPr>
        <xdr:cNvPr id="17" name="TextBox 16">
          <a:extLst>
            <a:ext uri="{FF2B5EF4-FFF2-40B4-BE49-F238E27FC236}">
              <a16:creationId xmlns:a16="http://schemas.microsoft.com/office/drawing/2014/main" id="{00000000-0008-0000-0100-000011000000}"/>
            </a:ext>
          </a:extLst>
        </xdr:cNvPr>
        <xdr:cNvSpPr txBox="1"/>
      </xdr:nvSpPr>
      <xdr:spPr>
        <a:xfrm>
          <a:off x="5169960" y="12562417"/>
          <a:ext cx="464608"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fld id="{A3085E7B-7F77-42F5-B320-49A8C1FBFF28}" type="TxLink">
            <a:rPr lang="en-US" sz="900" b="0" i="0" u="none" strike="noStrike">
              <a:solidFill>
                <a:srgbClr val="000000"/>
              </a:solidFill>
              <a:latin typeface="Calibri"/>
            </a:rPr>
            <a:pPr/>
            <a:t>5.00 ft</a:t>
          </a:fld>
          <a:endParaRPr lang="en-US" sz="900"/>
        </a:p>
      </xdr:txBody>
    </xdr:sp>
    <xdr:clientData/>
  </xdr:twoCellAnchor>
  <xdr:twoCellAnchor>
    <xdr:from>
      <xdr:col>3</xdr:col>
      <xdr:colOff>24077</xdr:colOff>
      <xdr:row>59</xdr:row>
      <xdr:rowOff>184151</xdr:rowOff>
    </xdr:from>
    <xdr:to>
      <xdr:col>5</xdr:col>
      <xdr:colOff>66411</xdr:colOff>
      <xdr:row>60</xdr:row>
      <xdr:rowOff>184151</xdr:rowOff>
    </xdr:to>
    <xdr:sp macro="" textlink="WQFCalc!H55">
      <xdr:nvSpPr>
        <xdr:cNvPr id="18" name="TextBox 17">
          <a:extLst>
            <a:ext uri="{FF2B5EF4-FFF2-40B4-BE49-F238E27FC236}">
              <a16:creationId xmlns:a16="http://schemas.microsoft.com/office/drawing/2014/main" id="{00000000-0008-0000-0100-000012000000}"/>
            </a:ext>
          </a:extLst>
        </xdr:cNvPr>
        <xdr:cNvSpPr txBox="1"/>
      </xdr:nvSpPr>
      <xdr:spPr>
        <a:xfrm>
          <a:off x="2452952" y="11423651"/>
          <a:ext cx="72099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fld id="{B661B273-0EBF-42FE-9A45-8EA95EA18A0E}" type="TxLink">
            <a:rPr lang="en-US" sz="900" b="0" i="0" u="none" strike="noStrike">
              <a:solidFill>
                <a:srgbClr val="000000"/>
              </a:solidFill>
              <a:latin typeface="Calibri"/>
            </a:rPr>
            <a:pPr/>
            <a:t>15.00 ft</a:t>
          </a:fld>
          <a:endParaRPr lang="en-US" sz="900"/>
        </a:p>
      </xdr:txBody>
    </xdr:sp>
    <xdr:clientData/>
  </xdr:twoCellAnchor>
  <xdr:twoCellAnchor>
    <xdr:from>
      <xdr:col>6</xdr:col>
      <xdr:colOff>493172</xdr:colOff>
      <xdr:row>80</xdr:row>
      <xdr:rowOff>173567</xdr:rowOff>
    </xdr:from>
    <xdr:to>
      <xdr:col>7</xdr:col>
      <xdr:colOff>364056</xdr:colOff>
      <xdr:row>81</xdr:row>
      <xdr:rowOff>173567</xdr:rowOff>
    </xdr:to>
    <xdr:sp macro="" textlink="WQFCalc!H56">
      <xdr:nvSpPr>
        <xdr:cNvPr id="19" name="TextBox 18">
          <a:extLst>
            <a:ext uri="{FF2B5EF4-FFF2-40B4-BE49-F238E27FC236}">
              <a16:creationId xmlns:a16="http://schemas.microsoft.com/office/drawing/2014/main" id="{00000000-0008-0000-0100-000013000000}"/>
            </a:ext>
          </a:extLst>
        </xdr:cNvPr>
        <xdr:cNvSpPr txBox="1"/>
      </xdr:nvSpPr>
      <xdr:spPr>
        <a:xfrm>
          <a:off x="4800589" y="15413567"/>
          <a:ext cx="548217"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fld id="{D3B4BCEB-3524-4821-B411-96C5E1E08ED4}" type="TxLink">
            <a:rPr lang="en-US" sz="900" b="0" i="0" u="none" strike="noStrike">
              <a:solidFill>
                <a:srgbClr val="000000"/>
              </a:solidFill>
              <a:latin typeface="Calibri"/>
            </a:rPr>
            <a:pPr/>
            <a:t>39.43 in</a:t>
          </a:fld>
          <a:endParaRPr lang="en-US" sz="900"/>
        </a:p>
      </xdr:txBody>
    </xdr:sp>
    <xdr:clientData/>
  </xdr:twoCellAnchor>
  <xdr:twoCellAnchor>
    <xdr:from>
      <xdr:col>7</xdr:col>
      <xdr:colOff>114294</xdr:colOff>
      <xdr:row>77</xdr:row>
      <xdr:rowOff>114300</xdr:rowOff>
    </xdr:from>
    <xdr:to>
      <xdr:col>8</xdr:col>
      <xdr:colOff>99477</xdr:colOff>
      <xdr:row>78</xdr:row>
      <xdr:rowOff>114300</xdr:rowOff>
    </xdr:to>
    <xdr:sp macro="" textlink="WQFCalc!N54">
      <xdr:nvSpPr>
        <xdr:cNvPr id="20" name="TextBox 19">
          <a:extLst>
            <a:ext uri="{FF2B5EF4-FFF2-40B4-BE49-F238E27FC236}">
              <a16:creationId xmlns:a16="http://schemas.microsoft.com/office/drawing/2014/main" id="{00000000-0008-0000-0100-000014000000}"/>
            </a:ext>
          </a:extLst>
        </xdr:cNvPr>
        <xdr:cNvSpPr txBox="1"/>
      </xdr:nvSpPr>
      <xdr:spPr>
        <a:xfrm>
          <a:off x="5099044" y="14782800"/>
          <a:ext cx="493183"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fld id="{E319A5CA-AF2F-4ADC-A8E5-4348513978C4}" type="TxLink">
            <a:rPr lang="en-US" sz="900" b="0" i="0" u="none" strike="noStrike">
              <a:solidFill>
                <a:srgbClr val="000000"/>
              </a:solidFill>
              <a:latin typeface="Calibri"/>
            </a:rPr>
            <a:pPr/>
            <a:t>83.43 in</a:t>
          </a:fld>
          <a:endParaRPr lang="en-US" sz="900"/>
        </a:p>
      </xdr:txBody>
    </xdr:sp>
    <xdr:clientData/>
  </xdr:twoCellAnchor>
  <xdr:twoCellAnchor>
    <xdr:from>
      <xdr:col>0</xdr:col>
      <xdr:colOff>702995</xdr:colOff>
      <xdr:row>78</xdr:row>
      <xdr:rowOff>84665</xdr:rowOff>
    </xdr:from>
    <xdr:to>
      <xdr:col>1</xdr:col>
      <xdr:colOff>461697</xdr:colOff>
      <xdr:row>79</xdr:row>
      <xdr:rowOff>82547</xdr:rowOff>
    </xdr:to>
    <xdr:sp macro="" textlink="WQFCalc!N55">
      <xdr:nvSpPr>
        <xdr:cNvPr id="22" name="TextBox 21">
          <a:extLst>
            <a:ext uri="{FF2B5EF4-FFF2-40B4-BE49-F238E27FC236}">
              <a16:creationId xmlns:a16="http://schemas.microsoft.com/office/drawing/2014/main" id="{00000000-0008-0000-0100-000016000000}"/>
            </a:ext>
          </a:extLst>
        </xdr:cNvPr>
        <xdr:cNvSpPr txBox="1"/>
      </xdr:nvSpPr>
      <xdr:spPr>
        <a:xfrm>
          <a:off x="702995" y="14943665"/>
          <a:ext cx="877890" cy="1883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fld id="{2E52AEC7-BD27-4F80-B723-CE0462B499D8}" type="TxLink">
            <a:rPr lang="en-US" sz="900" b="0" i="0" u="none" strike="noStrike">
              <a:solidFill>
                <a:srgbClr val="000000"/>
              </a:solidFill>
              <a:latin typeface="Calibri"/>
            </a:rPr>
            <a:pPr/>
            <a:t>95.000 ft</a:t>
          </a:fld>
          <a:endParaRPr lang="en-US" sz="900"/>
        </a:p>
      </xdr:txBody>
    </xdr:sp>
    <xdr:clientData/>
  </xdr:twoCellAnchor>
  <xdr:twoCellAnchor>
    <xdr:from>
      <xdr:col>6</xdr:col>
      <xdr:colOff>102646</xdr:colOff>
      <xdr:row>78</xdr:row>
      <xdr:rowOff>78320</xdr:rowOff>
    </xdr:from>
    <xdr:to>
      <xdr:col>7</xdr:col>
      <xdr:colOff>84656</xdr:colOff>
      <xdr:row>79</xdr:row>
      <xdr:rowOff>76202</xdr:rowOff>
    </xdr:to>
    <xdr:sp macro="" textlink="WQFCalc!N56">
      <xdr:nvSpPr>
        <xdr:cNvPr id="12" name="TextBox 11">
          <a:extLst>
            <a:ext uri="{FF2B5EF4-FFF2-40B4-BE49-F238E27FC236}">
              <a16:creationId xmlns:a16="http://schemas.microsoft.com/office/drawing/2014/main" id="{00000000-0008-0000-0100-00000C000000}"/>
            </a:ext>
          </a:extLst>
        </xdr:cNvPr>
        <xdr:cNvSpPr txBox="1"/>
      </xdr:nvSpPr>
      <xdr:spPr>
        <a:xfrm>
          <a:off x="4115052" y="14937320"/>
          <a:ext cx="660667" cy="1883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fld id="{84A5190A-B4E1-4738-9AE1-C709FDB85668}" type="TxLink">
            <a:rPr lang="en-US" sz="900" b="0" i="0" u="none" strike="noStrike">
              <a:solidFill>
                <a:srgbClr val="000000"/>
              </a:solidFill>
              <a:latin typeface="Calibri"/>
            </a:rPr>
            <a:pPr/>
            <a:t>95.000 ft</a:t>
          </a:fld>
          <a:endParaRPr lang="en-US" sz="900"/>
        </a:p>
      </xdr:txBody>
    </xdr:sp>
    <xdr:clientData/>
  </xdr:twoCellAnchor>
  <xdr:twoCellAnchor>
    <xdr:from>
      <xdr:col>0</xdr:col>
      <xdr:colOff>897465</xdr:colOff>
      <xdr:row>80</xdr:row>
      <xdr:rowOff>167216</xdr:rowOff>
    </xdr:from>
    <xdr:to>
      <xdr:col>1</xdr:col>
      <xdr:colOff>474132</xdr:colOff>
      <xdr:row>81</xdr:row>
      <xdr:rowOff>167216</xdr:rowOff>
    </xdr:to>
    <xdr:sp macro="" textlink="WQFCalc!H56">
      <xdr:nvSpPr>
        <xdr:cNvPr id="13" name="TextBox 12">
          <a:extLst>
            <a:ext uri="{FF2B5EF4-FFF2-40B4-BE49-F238E27FC236}">
              <a16:creationId xmlns:a16="http://schemas.microsoft.com/office/drawing/2014/main" id="{00000000-0008-0000-0100-00000D000000}"/>
            </a:ext>
          </a:extLst>
        </xdr:cNvPr>
        <xdr:cNvSpPr txBox="1"/>
      </xdr:nvSpPr>
      <xdr:spPr>
        <a:xfrm>
          <a:off x="897465" y="15407216"/>
          <a:ext cx="69850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fld id="{D3B4BCEB-3524-4821-B411-96C5E1E08ED4}" type="TxLink">
            <a:rPr lang="en-US" sz="900" b="0" i="0" u="none" strike="noStrike">
              <a:solidFill>
                <a:srgbClr val="000000"/>
              </a:solidFill>
              <a:latin typeface="Calibri"/>
            </a:rPr>
            <a:pPr/>
            <a:t>39.43 in</a:t>
          </a:fld>
          <a:endParaRPr lang="en-US" sz="900"/>
        </a:p>
      </xdr:txBody>
    </xdr:sp>
    <xdr:clientData/>
  </xdr:twoCellAnchor>
  <xdr:twoCellAnchor>
    <xdr:from>
      <xdr:col>5</xdr:col>
      <xdr:colOff>630767</xdr:colOff>
      <xdr:row>71</xdr:row>
      <xdr:rowOff>42334</xdr:rowOff>
    </xdr:from>
    <xdr:to>
      <xdr:col>7</xdr:col>
      <xdr:colOff>17993</xdr:colOff>
      <xdr:row>72</xdr:row>
      <xdr:rowOff>27516</xdr:rowOff>
    </xdr:to>
    <xdr:sp macro="" textlink="WQFCalc!N57">
      <xdr:nvSpPr>
        <xdr:cNvPr id="16" name="TextBox 15">
          <a:extLst>
            <a:ext uri="{FF2B5EF4-FFF2-40B4-BE49-F238E27FC236}">
              <a16:creationId xmlns:a16="http://schemas.microsoft.com/office/drawing/2014/main" id="{00000000-0008-0000-0100-000010000000}"/>
            </a:ext>
          </a:extLst>
        </xdr:cNvPr>
        <xdr:cNvSpPr txBox="1"/>
      </xdr:nvSpPr>
      <xdr:spPr>
        <a:xfrm>
          <a:off x="4028017" y="13567834"/>
          <a:ext cx="974726" cy="1756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fld id="{C85A913D-64B3-449F-B90D-940E2CDE4335}" type="TxLink">
            <a:rPr lang="en-US" sz="900" b="0" i="0" u="none" strike="noStrike">
              <a:solidFill>
                <a:srgbClr val="000000"/>
              </a:solidFill>
              <a:latin typeface="Calibri"/>
            </a:rPr>
            <a:pPr/>
            <a:t>Rim: 100.000 ft</a:t>
          </a:fld>
          <a:endParaRPr lang="en-US" sz="700"/>
        </a:p>
      </xdr:txBody>
    </xdr:sp>
    <xdr:clientData/>
  </xdr:twoCellAnchor>
  <xdr:twoCellAnchor>
    <xdr:from>
      <xdr:col>0</xdr:col>
      <xdr:colOff>7148</xdr:colOff>
      <xdr:row>86</xdr:row>
      <xdr:rowOff>148173</xdr:rowOff>
    </xdr:from>
    <xdr:to>
      <xdr:col>5</xdr:col>
      <xdr:colOff>66415</xdr:colOff>
      <xdr:row>90</xdr:row>
      <xdr:rowOff>82559</xdr:rowOff>
    </xdr:to>
    <xdr:grpSp>
      <xdr:nvGrpSpPr>
        <xdr:cNvPr id="4" name="Group 3">
          <a:extLst>
            <a:ext uri="{FF2B5EF4-FFF2-40B4-BE49-F238E27FC236}">
              <a16:creationId xmlns:a16="http://schemas.microsoft.com/office/drawing/2014/main" id="{00000000-0008-0000-0100-000004000000}"/>
            </a:ext>
          </a:extLst>
        </xdr:cNvPr>
        <xdr:cNvGrpSpPr/>
      </xdr:nvGrpSpPr>
      <xdr:grpSpPr>
        <a:xfrm>
          <a:off x="7148" y="16474023"/>
          <a:ext cx="2954867" cy="696386"/>
          <a:chOff x="283633" y="16446504"/>
          <a:chExt cx="3149600" cy="696386"/>
        </a:xfrm>
      </xdr:grpSpPr>
      <xdr:sp macro="" textlink="WQFCalc!W54">
        <xdr:nvSpPr>
          <xdr:cNvPr id="3" name="TextBox 2">
            <a:extLst>
              <a:ext uri="{FF2B5EF4-FFF2-40B4-BE49-F238E27FC236}">
                <a16:creationId xmlns:a16="http://schemas.microsoft.com/office/drawing/2014/main" id="{00000000-0008-0000-0100-000003000000}"/>
              </a:ext>
            </a:extLst>
          </xdr:cNvPr>
          <xdr:cNvSpPr txBox="1"/>
        </xdr:nvSpPr>
        <xdr:spPr>
          <a:xfrm>
            <a:off x="285750" y="16446504"/>
            <a:ext cx="3143250" cy="2010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fld id="{4C913E07-ED36-41B7-81E3-EF824C748AB0}" type="TxLink">
              <a:rPr lang="en-US" sz="1000" b="0" i="0" u="none" strike="noStrike">
                <a:solidFill>
                  <a:srgbClr val="000000"/>
                </a:solidFill>
                <a:latin typeface="Arial" panose="020B0604020202020204" pitchFamily="34" charset="0"/>
                <a:cs typeface="Arial" panose="020B0604020202020204" pitchFamily="34" charset="0"/>
              </a:rPr>
              <a:pPr/>
              <a:t>Max. Treatment Flow Rate: 51.69 cfs</a:t>
            </a:fld>
            <a:endParaRPr lang="en-US" sz="1000">
              <a:latin typeface="Arial" panose="020B0604020202020204" pitchFamily="34" charset="0"/>
              <a:cs typeface="Arial" panose="020B0604020202020204" pitchFamily="34" charset="0"/>
            </a:endParaRPr>
          </a:p>
        </xdr:txBody>
      </xdr:sp>
      <xdr:sp macro="" textlink="WQFCalc!W55">
        <xdr:nvSpPr>
          <xdr:cNvPr id="24" name="TextBox 23">
            <a:extLst>
              <a:ext uri="{FF2B5EF4-FFF2-40B4-BE49-F238E27FC236}">
                <a16:creationId xmlns:a16="http://schemas.microsoft.com/office/drawing/2014/main" id="{00000000-0008-0000-0100-000018000000}"/>
              </a:ext>
            </a:extLst>
          </xdr:cNvPr>
          <xdr:cNvSpPr txBox="1"/>
        </xdr:nvSpPr>
        <xdr:spPr>
          <a:xfrm>
            <a:off x="289983" y="16609488"/>
            <a:ext cx="3143250" cy="2010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fld id="{44770A9B-BADC-491D-9449-D23C9526ACEE}" type="TxLink">
              <a:rPr lang="en-US" sz="1000" b="0" i="0" u="none" strike="noStrike">
                <a:solidFill>
                  <a:srgbClr val="000000"/>
                </a:solidFill>
                <a:latin typeface="Arial" panose="020B0604020202020204" pitchFamily="34" charset="0"/>
                <a:cs typeface="Arial" panose="020B0604020202020204" pitchFamily="34" charset="0"/>
              </a:rPr>
              <a:pPr/>
              <a:t>Min. Open Orifice Area of Screens: 58.04 sq.ft.</a:t>
            </a:fld>
            <a:endParaRPr lang="en-US" sz="1000">
              <a:latin typeface="Arial" panose="020B0604020202020204" pitchFamily="34" charset="0"/>
              <a:cs typeface="Arial" panose="020B0604020202020204" pitchFamily="34" charset="0"/>
            </a:endParaRPr>
          </a:p>
        </xdr:txBody>
      </xdr:sp>
      <xdr:sp macro="" textlink="WQFCalc!W56">
        <xdr:nvSpPr>
          <xdr:cNvPr id="25" name="TextBox 24">
            <a:extLst>
              <a:ext uri="{FF2B5EF4-FFF2-40B4-BE49-F238E27FC236}">
                <a16:creationId xmlns:a16="http://schemas.microsoft.com/office/drawing/2014/main" id="{00000000-0008-0000-0100-000019000000}"/>
              </a:ext>
            </a:extLst>
          </xdr:cNvPr>
          <xdr:cNvSpPr txBox="1"/>
        </xdr:nvSpPr>
        <xdr:spPr>
          <a:xfrm>
            <a:off x="289983" y="16778823"/>
            <a:ext cx="3143250" cy="2010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fld id="{FB58B19A-F875-48DB-9EF8-0FBF95941F41}" type="TxLink">
              <a:rPr lang="en-US" sz="1000" b="0" i="0" u="none" strike="noStrike">
                <a:solidFill>
                  <a:srgbClr val="000000"/>
                </a:solidFill>
                <a:latin typeface="Arial" panose="020B0604020202020204" pitchFamily="34" charset="0"/>
                <a:cs typeface="Arial" panose="020B0604020202020204" pitchFamily="34" charset="0"/>
              </a:rPr>
              <a:pPr/>
              <a:t>Min. Screenings Storage Capacity: 7.868 cu.yd.</a:t>
            </a:fld>
            <a:endParaRPr lang="en-US" sz="1000">
              <a:latin typeface="Arial" panose="020B0604020202020204" pitchFamily="34" charset="0"/>
              <a:cs typeface="Arial" panose="020B0604020202020204" pitchFamily="34" charset="0"/>
            </a:endParaRPr>
          </a:p>
        </xdr:txBody>
      </xdr:sp>
      <xdr:sp macro="" textlink="WQFCalc!W57">
        <xdr:nvSpPr>
          <xdr:cNvPr id="26" name="TextBox 25">
            <a:extLst>
              <a:ext uri="{FF2B5EF4-FFF2-40B4-BE49-F238E27FC236}">
                <a16:creationId xmlns:a16="http://schemas.microsoft.com/office/drawing/2014/main" id="{00000000-0008-0000-0100-00001A000000}"/>
              </a:ext>
            </a:extLst>
          </xdr:cNvPr>
          <xdr:cNvSpPr txBox="1"/>
        </xdr:nvSpPr>
        <xdr:spPr>
          <a:xfrm>
            <a:off x="283633" y="16941806"/>
            <a:ext cx="3143250" cy="2010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fld id="{3CDE7174-B475-4BE7-9516-8141B82E19E9}" type="TxLink">
              <a:rPr lang="en-US" sz="1000" b="0" i="0" u="none" strike="noStrike">
                <a:solidFill>
                  <a:srgbClr val="000000"/>
                </a:solidFill>
                <a:latin typeface="Arial" panose="020B0604020202020204" pitchFamily="34" charset="0"/>
                <a:cs typeface="Arial" panose="020B0604020202020204" pitchFamily="34" charset="0"/>
              </a:rPr>
              <a:pPr/>
              <a:t>Min. Sediment Storage Capacity: 9.126 cu.yd.</a:t>
            </a:fld>
            <a:endParaRPr lang="en-US" sz="1000">
              <a:latin typeface="Arial" panose="020B0604020202020204" pitchFamily="34" charset="0"/>
              <a:cs typeface="Arial" panose="020B0604020202020204" pitchFamily="34" charset="0"/>
            </a:endParaRPr>
          </a:p>
        </xdr:txBody>
      </xdr:sp>
    </xdr:grpSp>
    <xdr:clientData/>
  </xdr:twoCellAnchor>
  <xdr:twoCellAnchor>
    <xdr:from>
      <xdr:col>0</xdr:col>
      <xdr:colOff>205316</xdr:colOff>
      <xdr:row>85</xdr:row>
      <xdr:rowOff>148170</xdr:rowOff>
    </xdr:from>
    <xdr:to>
      <xdr:col>6</xdr:col>
      <xdr:colOff>254000</xdr:colOff>
      <xdr:row>86</xdr:row>
      <xdr:rowOff>162991</xdr:rowOff>
    </xdr:to>
    <xdr:sp macro="" textlink="WQFCalc!W53">
      <xdr:nvSpPr>
        <xdr:cNvPr id="27" name="TextBox 26">
          <a:extLst>
            <a:ext uri="{FF2B5EF4-FFF2-40B4-BE49-F238E27FC236}">
              <a16:creationId xmlns:a16="http://schemas.microsoft.com/office/drawing/2014/main" id="{00000000-0008-0000-0100-00001B000000}"/>
            </a:ext>
          </a:extLst>
        </xdr:cNvPr>
        <xdr:cNvSpPr txBox="1"/>
      </xdr:nvSpPr>
      <xdr:spPr>
        <a:xfrm>
          <a:off x="205316" y="16340670"/>
          <a:ext cx="4356101" cy="2053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fld id="{0F10E391-2F0E-4A1D-9344-903985D09D40}" type="TxLink">
            <a:rPr lang="en-US" sz="1100" b="1" i="0" u="none" strike="noStrike">
              <a:solidFill>
                <a:srgbClr val="000000"/>
              </a:solidFill>
              <a:latin typeface="Calibri"/>
            </a:rPr>
            <a:pPr/>
            <a:t>HYDRO DRYSCREEN MODEL HDS5X15 SPECIFICATION</a:t>
          </a:fld>
          <a:endParaRPr lang="en-US" sz="1100" b="1" i="0" u="none" strike="noStrike">
            <a:solidFill>
              <a:srgbClr val="000000"/>
            </a:solidFill>
            <a:latin typeface="Calibri"/>
          </a:endParaRPr>
        </a:p>
      </xdr:txBody>
    </xdr:sp>
    <xdr:clientData/>
  </xdr:twoCellAnchor>
  <xdr:twoCellAnchor>
    <xdr:from>
      <xdr:col>8</xdr:col>
      <xdr:colOff>148162</xdr:colOff>
      <xdr:row>56</xdr:row>
      <xdr:rowOff>116416</xdr:rowOff>
    </xdr:from>
    <xdr:to>
      <xdr:col>11</xdr:col>
      <xdr:colOff>462643</xdr:colOff>
      <xdr:row>67</xdr:row>
      <xdr:rowOff>84666</xdr:rowOff>
    </xdr:to>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5495769" y="10770809"/>
          <a:ext cx="1389445" cy="2063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1. MANHOLE WALL &amp; SLAB THICKNESS NOT TO SCALE. </a:t>
          </a:r>
        </a:p>
        <a:p>
          <a:r>
            <a:rPr lang="en-US" sz="800"/>
            <a:t>2. DRAWING</a:t>
          </a:r>
          <a:r>
            <a:rPr lang="en-US" sz="800" baseline="0"/>
            <a:t> NOT TO BE USED FOR CONSTRUCTION. </a:t>
          </a:r>
        </a:p>
        <a:p>
          <a:r>
            <a:rPr lang="en-US" sz="800" baseline="0"/>
            <a:t>3. CONTACT HYDRO FOR MORE INFORMATION ON SPECIFIC PROJECT DESIGN &amp; PRICING.</a:t>
          </a:r>
          <a:endParaRPr lang="en-US" sz="800"/>
        </a:p>
      </xdr:txBody>
    </xdr:sp>
    <xdr:clientData/>
  </xdr:twoCellAnchor>
  <xdr:twoCellAnchor>
    <xdr:from>
      <xdr:col>0</xdr:col>
      <xdr:colOff>11</xdr:colOff>
      <xdr:row>0</xdr:row>
      <xdr:rowOff>7559</xdr:rowOff>
    </xdr:from>
    <xdr:to>
      <xdr:col>5</xdr:col>
      <xdr:colOff>11</xdr:colOff>
      <xdr:row>3</xdr:row>
      <xdr:rowOff>190500</xdr:rowOff>
    </xdr:to>
    <xdr:sp macro="" textlink="">
      <xdr:nvSpPr>
        <xdr:cNvPr id="28" name="TextBox 27">
          <a:extLst>
            <a:ext uri="{FF2B5EF4-FFF2-40B4-BE49-F238E27FC236}">
              <a16:creationId xmlns:a16="http://schemas.microsoft.com/office/drawing/2014/main" id="{00000000-0008-0000-0100-00001C000000}"/>
            </a:ext>
          </a:extLst>
        </xdr:cNvPr>
        <xdr:cNvSpPr txBox="1"/>
      </xdr:nvSpPr>
      <xdr:spPr>
        <a:xfrm>
          <a:off x="11" y="7559"/>
          <a:ext cx="3111500" cy="765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schemeClr val="accent1"/>
              </a:solidFill>
              <a:effectLst/>
              <a:uLnTx/>
              <a:uFillTx/>
              <a:latin typeface="Arial" pitchFamily="34" charset="0"/>
              <a:ea typeface="+mn-ea"/>
              <a:cs typeface="Arial" pitchFamily="34" charset="0"/>
            </a:rPr>
            <a:t>Hydro DryScreen</a:t>
          </a:r>
          <a:r>
            <a:rPr kumimoji="0" lang="en-US" sz="1050" b="0" i="0" u="none" strike="noStrike" kern="0" cap="none" spc="0" normalizeH="0" baseline="60000" noProof="0">
              <a:ln>
                <a:noFill/>
              </a:ln>
              <a:solidFill>
                <a:schemeClr val="accent1"/>
              </a:solidFill>
              <a:effectLst/>
              <a:uLnTx/>
              <a:uFillTx/>
              <a:latin typeface="Arial" pitchFamily="34" charset="0"/>
              <a:ea typeface="+mn-ea"/>
              <a:cs typeface="Arial" pitchFamily="34" charset="0"/>
            </a:rPr>
            <a:t>TM</a:t>
          </a:r>
          <a:r>
            <a:rPr lang="en-US" sz="1800" baseline="0">
              <a:solidFill>
                <a:schemeClr val="accent1"/>
              </a:solidFill>
              <a:latin typeface="Arial" pitchFamily="34" charset="0"/>
              <a:cs typeface="Arial" pitchFamily="34" charset="0"/>
            </a:rPr>
            <a:t> </a:t>
          </a:r>
        </a:p>
        <a:p>
          <a:r>
            <a:rPr lang="en-US" sz="1400" b="0" baseline="0">
              <a:solidFill>
                <a:schemeClr val="accent2"/>
              </a:solidFill>
              <a:latin typeface="Arial" pitchFamily="34" charset="0"/>
              <a:cs typeface="Arial" pitchFamily="34" charset="0"/>
            </a:rPr>
            <a:t>Water Quality Flow Rate Worksheet</a:t>
          </a:r>
        </a:p>
        <a:p>
          <a:r>
            <a:rPr lang="en-US" sz="1100" b="0" baseline="0">
              <a:solidFill>
                <a:schemeClr val="accent2"/>
              </a:solidFill>
              <a:latin typeface="Arial" pitchFamily="34" charset="0"/>
              <a:cs typeface="Arial" pitchFamily="34" charset="0"/>
            </a:rPr>
            <a:t>R.3.4</a:t>
          </a:r>
        </a:p>
        <a:p>
          <a:endParaRPr lang="en-US" sz="1000" baseline="0">
            <a:solidFill>
              <a:srgbClr val="395E85"/>
            </a:solidFill>
            <a:latin typeface="Arial" pitchFamily="34" charset="0"/>
            <a:cs typeface="Arial" pitchFamily="34" charset="0"/>
          </a:endParaRPr>
        </a:p>
      </xdr:txBody>
    </xdr:sp>
    <xdr:clientData/>
  </xdr:twoCellAnchor>
  <xdr:twoCellAnchor editAs="oneCell">
    <xdr:from>
      <xdr:col>8</xdr:col>
      <xdr:colOff>39798</xdr:colOff>
      <xdr:row>0</xdr:row>
      <xdr:rowOff>8278</xdr:rowOff>
    </xdr:from>
    <xdr:to>
      <xdr:col>11</xdr:col>
      <xdr:colOff>559706</xdr:colOff>
      <xdr:row>3</xdr:row>
      <xdr:rowOff>14771</xdr:rowOff>
    </xdr:to>
    <xdr:pic>
      <xdr:nvPicPr>
        <xdr:cNvPr id="9" name="Picture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387405" y="8278"/>
          <a:ext cx="1594872" cy="581017"/>
        </a:xfrm>
        <a:prstGeom prst="rect">
          <a:avLst/>
        </a:prstGeom>
      </xdr:spPr>
    </xdr:pic>
    <xdr:clientData/>
  </xdr:twoCellAnchor>
  <xdr:twoCellAnchor>
    <xdr:from>
      <xdr:col>4</xdr:col>
      <xdr:colOff>122465</xdr:colOff>
      <xdr:row>86</xdr:row>
      <xdr:rowOff>84671</xdr:rowOff>
    </xdr:from>
    <xdr:to>
      <xdr:col>8</xdr:col>
      <xdr:colOff>166684</xdr:colOff>
      <xdr:row>91</xdr:row>
      <xdr:rowOff>119062</xdr:rowOff>
    </xdr:to>
    <xdr:sp macro="" textlink="WQFCalc!AG55">
      <xdr:nvSpPr>
        <xdr:cNvPr id="30" name="TextBox 29">
          <a:extLst>
            <a:ext uri="{FF2B5EF4-FFF2-40B4-BE49-F238E27FC236}">
              <a16:creationId xmlns:a16="http://schemas.microsoft.com/office/drawing/2014/main" id="{00000000-0008-0000-0100-00001E000000}"/>
            </a:ext>
          </a:extLst>
        </xdr:cNvPr>
        <xdr:cNvSpPr txBox="1"/>
      </xdr:nvSpPr>
      <xdr:spPr>
        <a:xfrm>
          <a:off x="2925536" y="16454064"/>
          <a:ext cx="2588755" cy="9868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fld id="{035C33DB-E4CC-4467-873D-E03539F83738}" type="TxLink">
            <a:rPr lang="en-US" sz="1000" b="0" i="0" u="none" strike="noStrike">
              <a:solidFill>
                <a:srgbClr val="000000"/>
              </a:solidFill>
              <a:latin typeface="Arial" panose="020B0604020202020204" pitchFamily="34" charset="0"/>
              <a:cs typeface="Arial" panose="020B0604020202020204" pitchFamily="34" charset="0"/>
            </a:rPr>
            <a:pPr/>
            <a:t>TREATMENT UNIT HAS BEEN DESIGNED TO REMOVE A MIN. 100% TSS BASED ON A PSD RANGE DOWN TO A MIN. 425 µm AT A WATER QUALITY FLOW RATE OF 10 cfs</a:t>
          </a:fld>
          <a:endParaRPr lang="en-US" sz="700">
            <a:latin typeface="Arial" panose="020B0604020202020204" pitchFamily="34" charset="0"/>
            <a:cs typeface="Arial" panose="020B0604020202020204" pitchFamily="34" charset="0"/>
          </a:endParaRPr>
        </a:p>
      </xdr:txBody>
    </xdr:sp>
    <xdr:clientData/>
  </xdr:twoCellAnchor>
  <xdr:twoCellAnchor>
    <xdr:from>
      <xdr:col>6</xdr:col>
      <xdr:colOff>412741</xdr:colOff>
      <xdr:row>76</xdr:row>
      <xdr:rowOff>179916</xdr:rowOff>
    </xdr:from>
    <xdr:to>
      <xdr:col>7</xdr:col>
      <xdr:colOff>190496</xdr:colOff>
      <xdr:row>78</xdr:row>
      <xdr:rowOff>19049</xdr:rowOff>
    </xdr:to>
    <xdr:sp macro="" textlink="WQFCalc!U101">
      <xdr:nvSpPr>
        <xdr:cNvPr id="31" name="TextBox 30">
          <a:extLst>
            <a:ext uri="{FF2B5EF4-FFF2-40B4-BE49-F238E27FC236}">
              <a16:creationId xmlns:a16="http://schemas.microsoft.com/office/drawing/2014/main" id="{00000000-0008-0000-0100-00001F000000}"/>
            </a:ext>
          </a:extLst>
        </xdr:cNvPr>
        <xdr:cNvSpPr txBox="1"/>
      </xdr:nvSpPr>
      <xdr:spPr>
        <a:xfrm>
          <a:off x="4720158" y="14657916"/>
          <a:ext cx="455088" cy="2201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fld id="{D7BED54E-1BBE-44AF-890D-7B472BB6A185}" type="TxLink">
            <a:rPr lang="en-US" sz="900" b="0" i="0" u="none" strike="noStrike">
              <a:solidFill>
                <a:srgbClr val="000000"/>
              </a:solidFill>
              <a:latin typeface="Calibri"/>
            </a:rPr>
            <a:pPr/>
            <a:t>Std</a:t>
          </a:fld>
          <a:endParaRPr lang="en-US" sz="600"/>
        </a:p>
      </xdr:txBody>
    </xdr:sp>
    <xdr:clientData/>
  </xdr:twoCellAnchor>
  <xdr:twoCellAnchor>
    <xdr:from>
      <xdr:col>0</xdr:col>
      <xdr:colOff>1852</xdr:colOff>
      <xdr:row>90</xdr:row>
      <xdr:rowOff>42334</xdr:rowOff>
    </xdr:from>
    <xdr:to>
      <xdr:col>5</xdr:col>
      <xdr:colOff>54620</xdr:colOff>
      <xdr:row>91</xdr:row>
      <xdr:rowOff>52918</xdr:rowOff>
    </xdr:to>
    <xdr:sp macro="" textlink="WQFCalc!W58">
      <xdr:nvSpPr>
        <xdr:cNvPr id="33" name="TextBox 32">
          <a:extLst>
            <a:ext uri="{FF2B5EF4-FFF2-40B4-BE49-F238E27FC236}">
              <a16:creationId xmlns:a16="http://schemas.microsoft.com/office/drawing/2014/main" id="{00000000-0008-0000-0100-000021000000}"/>
            </a:ext>
          </a:extLst>
        </xdr:cNvPr>
        <xdr:cNvSpPr txBox="1"/>
      </xdr:nvSpPr>
      <xdr:spPr>
        <a:xfrm>
          <a:off x="1852" y="17187334"/>
          <a:ext cx="3160299" cy="2010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fld id="{5DAFFB31-00B0-444B-B3E8-0E50E345F896}" type="TxLink">
            <a:rPr lang="en-US" sz="1000" b="0" i="0" u="none" strike="noStrike">
              <a:solidFill>
                <a:srgbClr val="000000"/>
              </a:solidFill>
              <a:latin typeface="Arial" panose="020B0604020202020204" pitchFamily="34" charset="0"/>
              <a:cs typeface="Arial" panose="020B0604020202020204" pitchFamily="34" charset="0"/>
            </a:rPr>
            <a:pPr/>
            <a:t>Screen Mesh Size: 19mm (0.75") Std</a:t>
          </a:fld>
          <a:endParaRPr lang="en-US" sz="1000" b="0" i="0" u="none" strike="noStrike">
            <a:solidFill>
              <a:srgbClr val="000000"/>
            </a:solidFill>
            <a:latin typeface="Arial" panose="020B0604020202020204" pitchFamily="34" charset="0"/>
            <a:cs typeface="Arial" panose="020B0604020202020204" pitchFamily="34" charset="0"/>
          </a:endParaRPr>
        </a:p>
      </xdr:txBody>
    </xdr:sp>
    <xdr:clientData/>
  </xdr:twoCellAnchor>
  <xdr:twoCellAnchor>
    <xdr:from>
      <xdr:col>8</xdr:col>
      <xdr:colOff>185206</xdr:colOff>
      <xdr:row>77</xdr:row>
      <xdr:rowOff>190499</xdr:rowOff>
    </xdr:from>
    <xdr:to>
      <xdr:col>11</xdr:col>
      <xdr:colOff>476250</xdr:colOff>
      <xdr:row>83</xdr:row>
      <xdr:rowOff>21166</xdr:rowOff>
    </xdr:to>
    <xdr:grpSp>
      <xdr:nvGrpSpPr>
        <xdr:cNvPr id="7" name="Group 6">
          <a:extLst>
            <a:ext uri="{FF2B5EF4-FFF2-40B4-BE49-F238E27FC236}">
              <a16:creationId xmlns:a16="http://schemas.microsoft.com/office/drawing/2014/main" id="{00000000-0008-0000-0100-000007000000}"/>
            </a:ext>
          </a:extLst>
        </xdr:cNvPr>
        <xdr:cNvGrpSpPr/>
      </xdr:nvGrpSpPr>
      <xdr:grpSpPr>
        <a:xfrm>
          <a:off x="5157256" y="14801849"/>
          <a:ext cx="1291169" cy="973667"/>
          <a:chOff x="5578736" y="14858999"/>
          <a:chExt cx="1303076" cy="973667"/>
        </a:xfrm>
      </xdr:grpSpPr>
      <xdr:sp macro="" textlink="WQFCalc!B55">
        <xdr:nvSpPr>
          <xdr:cNvPr id="11" name="TextBox 10">
            <a:extLst>
              <a:ext uri="{FF2B5EF4-FFF2-40B4-BE49-F238E27FC236}">
                <a16:creationId xmlns:a16="http://schemas.microsoft.com/office/drawing/2014/main" id="{00000000-0008-0000-0100-00000B000000}"/>
              </a:ext>
            </a:extLst>
          </xdr:cNvPr>
          <xdr:cNvSpPr txBox="1"/>
        </xdr:nvSpPr>
        <xdr:spPr>
          <a:xfrm>
            <a:off x="5584032" y="14858999"/>
            <a:ext cx="1297780" cy="211667"/>
          </a:xfrm>
          <a:prstGeom prst="rect">
            <a:avLst/>
          </a:prstGeom>
          <a:noFill/>
          <a:ln>
            <a:noFill/>
          </a:ln>
          <a:effectLst/>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fld id="{F5FE039F-9F4C-42F7-9924-19398B5F2D49}" type="TxLink">
              <a:rPr lang="en-US" sz="1050" b="1" i="0" u="none" strike="noStrike" cap="none" spc="0">
                <a:ln w="0"/>
                <a:solidFill>
                  <a:srgbClr val="000000"/>
                </a:solidFill>
                <a:effectLst/>
                <a:latin typeface="Arial" panose="020B0604020202020204" pitchFamily="34" charset="0"/>
                <a:cs typeface="Arial" panose="020B0604020202020204" pitchFamily="34" charset="0"/>
              </a:rPr>
              <a:pPr algn="ctr"/>
              <a:t>Project Name</a:t>
            </a:fld>
            <a:endParaRPr lang="en-US" sz="1050" b="1" cap="none" spc="0">
              <a:ln w="0"/>
              <a:solidFill>
                <a:schemeClr val="tx1"/>
              </a:solidFill>
              <a:effectLst/>
              <a:latin typeface="Arial" panose="020B0604020202020204" pitchFamily="34" charset="0"/>
              <a:cs typeface="Arial" panose="020B0604020202020204" pitchFamily="34" charset="0"/>
            </a:endParaRPr>
          </a:p>
        </xdr:txBody>
      </xdr:sp>
      <xdr:sp macro="" textlink="WQFCalc!B56">
        <xdr:nvSpPr>
          <xdr:cNvPr id="14" name="TextBox 13">
            <a:extLst>
              <a:ext uri="{FF2B5EF4-FFF2-40B4-BE49-F238E27FC236}">
                <a16:creationId xmlns:a16="http://schemas.microsoft.com/office/drawing/2014/main" id="{00000000-0008-0000-0100-00000E000000}"/>
              </a:ext>
            </a:extLst>
          </xdr:cNvPr>
          <xdr:cNvSpPr txBox="1"/>
        </xdr:nvSpPr>
        <xdr:spPr>
          <a:xfrm>
            <a:off x="5578736" y="15081514"/>
            <a:ext cx="1297780" cy="211667"/>
          </a:xfrm>
          <a:prstGeom prst="rect">
            <a:avLst/>
          </a:prstGeom>
          <a:noFill/>
          <a:ln>
            <a:noFill/>
          </a:ln>
          <a:effectLst/>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fld id="{C0DDEF85-E0EF-4652-A2DD-F571BDA6355F}" type="TxLink">
              <a:rPr lang="en-US" sz="1050" b="0" i="0" u="none" strike="noStrike" cap="none" spc="0">
                <a:ln w="0"/>
                <a:solidFill>
                  <a:sysClr val="windowText" lastClr="000000"/>
                </a:solidFill>
                <a:effectLst/>
                <a:latin typeface="Arial" panose="020B0604020202020204" pitchFamily="34" charset="0"/>
                <a:cs typeface="Arial" panose="020B0604020202020204" pitchFamily="34" charset="0"/>
              </a:rPr>
              <a:pPr algn="ctr"/>
              <a:t>Project Street</a:t>
            </a:fld>
            <a:endParaRPr lang="en-US" sz="1050" b="1" cap="none" spc="0">
              <a:ln w="0"/>
              <a:solidFill>
                <a:sysClr val="windowText" lastClr="000000"/>
              </a:solidFill>
              <a:effectLst/>
              <a:latin typeface="Arial" panose="020B0604020202020204" pitchFamily="34" charset="0"/>
              <a:cs typeface="Arial" panose="020B0604020202020204" pitchFamily="34" charset="0"/>
            </a:endParaRPr>
          </a:p>
        </xdr:txBody>
      </xdr:sp>
      <xdr:sp macro="" textlink="WQFCalc!B57">
        <xdr:nvSpPr>
          <xdr:cNvPr id="15" name="TextBox 14">
            <a:extLst>
              <a:ext uri="{FF2B5EF4-FFF2-40B4-BE49-F238E27FC236}">
                <a16:creationId xmlns:a16="http://schemas.microsoft.com/office/drawing/2014/main" id="{00000000-0008-0000-0100-00000F000000}"/>
              </a:ext>
            </a:extLst>
          </xdr:cNvPr>
          <xdr:cNvSpPr txBox="1"/>
        </xdr:nvSpPr>
        <xdr:spPr>
          <a:xfrm>
            <a:off x="5582268" y="15233914"/>
            <a:ext cx="1297780" cy="211667"/>
          </a:xfrm>
          <a:prstGeom prst="rect">
            <a:avLst/>
          </a:prstGeom>
          <a:noFill/>
          <a:ln>
            <a:noFill/>
          </a:ln>
          <a:effectLst/>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fld id="{A7430E56-8DD1-4F8B-8723-410BE5C6C9A0}" type="TxLink">
              <a:rPr lang="en-US" sz="1050" b="0" i="0" u="none" strike="noStrike" cap="none" spc="0">
                <a:ln w="0"/>
                <a:solidFill>
                  <a:sysClr val="windowText" lastClr="000000"/>
                </a:solidFill>
                <a:effectLst/>
                <a:latin typeface="Arial" panose="020B0604020202020204" pitchFamily="34" charset="0"/>
                <a:cs typeface="Arial" panose="020B0604020202020204" pitchFamily="34" charset="0"/>
              </a:rPr>
              <a:pPr algn="ctr"/>
              <a:t>Project City</a:t>
            </a:fld>
            <a:endParaRPr lang="en-US" sz="1050" b="1" cap="none" spc="0">
              <a:ln w="0"/>
              <a:solidFill>
                <a:sysClr val="windowText" lastClr="000000"/>
              </a:solidFill>
              <a:effectLst/>
              <a:latin typeface="Arial" panose="020B0604020202020204" pitchFamily="34" charset="0"/>
              <a:cs typeface="Arial" panose="020B0604020202020204" pitchFamily="34" charset="0"/>
            </a:endParaRPr>
          </a:p>
        </xdr:txBody>
      </xdr:sp>
      <xdr:sp macro="" textlink="$H$36">
        <xdr:nvSpPr>
          <xdr:cNvPr id="21" name="TextBox 20">
            <a:extLst>
              <a:ext uri="{FF2B5EF4-FFF2-40B4-BE49-F238E27FC236}">
                <a16:creationId xmlns:a16="http://schemas.microsoft.com/office/drawing/2014/main" id="{00000000-0008-0000-0100-000015000000}"/>
              </a:ext>
            </a:extLst>
          </xdr:cNvPr>
          <xdr:cNvSpPr txBox="1"/>
        </xdr:nvSpPr>
        <xdr:spPr>
          <a:xfrm>
            <a:off x="5601689" y="15601950"/>
            <a:ext cx="1264233" cy="230716"/>
          </a:xfrm>
          <a:prstGeom prst="rect">
            <a:avLst/>
          </a:prstGeom>
          <a:noFill/>
          <a:ln>
            <a:noFill/>
          </a:ln>
          <a:effectLst/>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marL="0" indent="0" algn="ctr"/>
            <a:fld id="{DB007E73-1970-4066-B873-81A8156BD2D1}" type="TxLink">
              <a:rPr lang="en-US" sz="1050" b="1" i="0" u="none" strike="noStrike" cap="none" spc="0">
                <a:ln w="0"/>
                <a:solidFill>
                  <a:sysClr val="windowText" lastClr="000000"/>
                </a:solidFill>
                <a:effectLst/>
                <a:latin typeface="Arial" panose="020B0604020202020204" pitchFamily="34" charset="0"/>
                <a:ea typeface="+mn-ea"/>
                <a:cs typeface="Arial" panose="020B0604020202020204" pitchFamily="34" charset="0"/>
              </a:rPr>
              <a:pPr marL="0" indent="0" algn="ctr"/>
              <a:t>Manhole1</a:t>
            </a:fld>
            <a:endParaRPr lang="en-US" sz="1050" b="1" i="0" u="none" strike="noStrike" cap="none" spc="0">
              <a:ln w="0"/>
              <a:solidFill>
                <a:sysClr val="windowText" lastClr="000000"/>
              </a:solidFill>
              <a:effectLst/>
              <a:latin typeface="Arial" panose="020B0604020202020204" pitchFamily="34" charset="0"/>
              <a:ea typeface="+mn-ea"/>
              <a:cs typeface="Arial" panose="020B0604020202020204" pitchFamily="34" charset="0"/>
            </a:endParaRPr>
          </a:p>
        </xdr:txBody>
      </xdr:sp>
      <xdr:sp macro="" textlink="WQFCalc!B58">
        <xdr:nvSpPr>
          <xdr:cNvPr id="32" name="TextBox 31">
            <a:extLst>
              <a:ext uri="{FF2B5EF4-FFF2-40B4-BE49-F238E27FC236}">
                <a16:creationId xmlns:a16="http://schemas.microsoft.com/office/drawing/2014/main" id="{00000000-0008-0000-0100-000020000000}"/>
              </a:ext>
            </a:extLst>
          </xdr:cNvPr>
          <xdr:cNvSpPr txBox="1"/>
        </xdr:nvSpPr>
        <xdr:spPr>
          <a:xfrm>
            <a:off x="5579890" y="15398220"/>
            <a:ext cx="1297780" cy="211667"/>
          </a:xfrm>
          <a:prstGeom prst="rect">
            <a:avLst/>
          </a:prstGeom>
          <a:noFill/>
          <a:ln>
            <a:noFill/>
          </a:ln>
          <a:effectLst/>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fld id="{E9AACB48-EAE7-4E17-9041-69780C1E3D77}" type="TxLink">
              <a:rPr lang="en-US" sz="1100" b="0" i="0" u="none" strike="noStrike" cap="none" spc="0">
                <a:ln w="0"/>
                <a:solidFill>
                  <a:srgbClr val="000000"/>
                </a:solidFill>
                <a:effectLst/>
                <a:latin typeface="Calibri"/>
                <a:cs typeface="Arial" panose="020B0604020202020204" pitchFamily="34" charset="0"/>
              </a:rPr>
              <a:pPr algn="ctr"/>
              <a:t>Project State</a:t>
            </a:fld>
            <a:endParaRPr lang="en-US" sz="1050" b="1" cap="none" spc="0">
              <a:ln w="0"/>
              <a:solidFill>
                <a:sysClr val="windowText" lastClr="000000"/>
              </a:solidFill>
              <a:effectLst/>
              <a:latin typeface="Arial" panose="020B0604020202020204" pitchFamily="34" charset="0"/>
              <a:cs typeface="Arial" panose="020B0604020202020204" pitchFamily="34" charset="0"/>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375046</xdr:colOff>
      <xdr:row>116</xdr:row>
      <xdr:rowOff>21431</xdr:rowOff>
    </xdr:from>
    <xdr:to>
      <xdr:col>6</xdr:col>
      <xdr:colOff>982265</xdr:colOff>
      <xdr:row>130</xdr:row>
      <xdr:rowOff>97631</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523875</xdr:colOff>
          <xdr:row>3</xdr:row>
          <xdr:rowOff>76200</xdr:rowOff>
        </xdr:from>
        <xdr:to>
          <xdr:col>3</xdr:col>
          <xdr:colOff>219075</xdr:colOff>
          <xdr:row>7</xdr:row>
          <xdr:rowOff>0</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400-000001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504825</xdr:colOff>
          <xdr:row>9</xdr:row>
          <xdr:rowOff>85725</xdr:rowOff>
        </xdr:from>
        <xdr:to>
          <xdr:col>3</xdr:col>
          <xdr:colOff>200025</xdr:colOff>
          <xdr:row>13</xdr:row>
          <xdr:rowOff>9525</xdr:rowOff>
        </xdr:to>
        <xdr:sp macro="" textlink="">
          <xdr:nvSpPr>
            <xdr:cNvPr id="5122" name="Object 2" hidden="1">
              <a:extLst>
                <a:ext uri="{63B3BB69-23CF-44E3-9099-C40C66FF867C}">
                  <a14:compatExt spid="_x0000_s5122"/>
                </a:ext>
                <a:ext uri="{FF2B5EF4-FFF2-40B4-BE49-F238E27FC236}">
                  <a16:creationId xmlns:a16="http://schemas.microsoft.com/office/drawing/2014/main" id="{00000000-0008-0000-0400-000002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xdr:col>
      <xdr:colOff>0</xdr:colOff>
      <xdr:row>3</xdr:row>
      <xdr:rowOff>190499</xdr:rowOff>
    </xdr:from>
    <xdr:to>
      <xdr:col>2</xdr:col>
      <xdr:colOff>600075</xdr:colOff>
      <xdr:row>6</xdr:row>
      <xdr:rowOff>47962</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09600" y="761999"/>
          <a:ext cx="1209675" cy="428963"/>
        </a:xfrm>
        <a:prstGeom prst="rect">
          <a:avLst/>
        </a:prstGeom>
        <a:ln>
          <a:solidFill>
            <a:schemeClr val="accent1"/>
          </a:solidFill>
        </a:ln>
        <a:effectLst>
          <a:outerShdw blurRad="50800" dist="38100" dir="2700000" algn="tl" rotWithShape="0">
            <a:schemeClr val="accent1">
              <a:lumMod val="50000"/>
              <a:alpha val="40000"/>
            </a:schemeClr>
          </a:outerShdw>
        </a:effectLst>
      </xdr:spPr>
    </xdr:pic>
    <xdr:clientData/>
  </xdr:twoCellAnchor>
  <xdr:twoCellAnchor editAs="oneCell">
    <xdr:from>
      <xdr:col>1</xdr:col>
      <xdr:colOff>0</xdr:colOff>
      <xdr:row>18</xdr:row>
      <xdr:rowOff>0</xdr:rowOff>
    </xdr:from>
    <xdr:to>
      <xdr:col>4</xdr:col>
      <xdr:colOff>409295</xdr:colOff>
      <xdr:row>22</xdr:row>
      <xdr:rowOff>171333</xdr:rowOff>
    </xdr:to>
    <xdr:pic>
      <xdr:nvPicPr>
        <xdr:cNvPr id="3" name="Picture 2">
          <a:hlinkClick xmlns:r="http://schemas.openxmlformats.org/officeDocument/2006/relationships" r:id="rId3"/>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4"/>
        <a:stretch>
          <a:fillRect/>
        </a:stretch>
      </xdr:blipFill>
      <xdr:spPr>
        <a:xfrm>
          <a:off x="609600" y="3429000"/>
          <a:ext cx="2238095" cy="933333"/>
        </a:xfrm>
        <a:prstGeom prst="rect">
          <a:avLst/>
        </a:prstGeom>
        <a:ln>
          <a:solidFill>
            <a:schemeClr val="accent1"/>
          </a:solidFill>
        </a:ln>
        <a:effectLst>
          <a:outerShdw blurRad="50800" dist="38100" dir="2700000" algn="tl" rotWithShape="0">
            <a:schemeClr val="accent1">
              <a:lumMod val="50000"/>
              <a:alpha val="40000"/>
            </a:schemeClr>
          </a:outerShdw>
        </a:effectLst>
      </xdr:spPr>
    </xdr:pic>
    <xdr:clientData/>
  </xdr:twoCellAnchor>
  <xdr:twoCellAnchor editAs="oneCell">
    <xdr:from>
      <xdr:col>1</xdr:col>
      <xdr:colOff>19050</xdr:colOff>
      <xdr:row>7</xdr:row>
      <xdr:rowOff>9525</xdr:rowOff>
    </xdr:from>
    <xdr:to>
      <xdr:col>2</xdr:col>
      <xdr:colOff>114212</xdr:colOff>
      <xdr:row>9</xdr:row>
      <xdr:rowOff>161858</xdr:rowOff>
    </xdr:to>
    <xdr:pic>
      <xdr:nvPicPr>
        <xdr:cNvPr id="4" name="Picture 3">
          <a:hlinkClick xmlns:r="http://schemas.openxmlformats.org/officeDocument/2006/relationships" r:id="rId5"/>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6"/>
        <a:stretch>
          <a:fillRect/>
        </a:stretch>
      </xdr:blipFill>
      <xdr:spPr>
        <a:xfrm>
          <a:off x="628650" y="1343025"/>
          <a:ext cx="704762" cy="533333"/>
        </a:xfrm>
        <a:prstGeom prst="rect">
          <a:avLst/>
        </a:prstGeom>
        <a:ln>
          <a:solidFill>
            <a:schemeClr val="accent1"/>
          </a:solidFill>
        </a:ln>
        <a:effectLst>
          <a:outerShdw blurRad="50800" dist="38100" dir="2700000" algn="tl" rotWithShape="0">
            <a:schemeClr val="accent1">
              <a:lumMod val="50000"/>
              <a:alpha val="40000"/>
            </a:schemeClr>
          </a:outerShdw>
        </a:effectLst>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2</xdr:row>
          <xdr:rowOff>0</xdr:rowOff>
        </xdr:from>
        <xdr:to>
          <xdr:col>2</xdr:col>
          <xdr:colOff>304800</xdr:colOff>
          <xdr:row>5</xdr:row>
          <xdr:rowOff>114300</xdr:rowOff>
        </xdr:to>
        <xdr:sp macro="" textlink="">
          <xdr:nvSpPr>
            <xdr:cNvPr id="8194" name="Object 2" hidden="1">
              <a:extLst>
                <a:ext uri="{63B3BB69-23CF-44E3-9099-C40C66FF867C}">
                  <a14:compatExt spid="_x0000_s8194"/>
                </a:ext>
                <a:ext uri="{FF2B5EF4-FFF2-40B4-BE49-F238E27FC236}">
                  <a16:creationId xmlns:a16="http://schemas.microsoft.com/office/drawing/2014/main" id="{00000000-0008-0000-0600-000002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Hydro">
  <a:themeElements>
    <a:clrScheme name="Hydro">
      <a:dk1>
        <a:sysClr val="windowText" lastClr="000000"/>
      </a:dk1>
      <a:lt1>
        <a:sysClr val="window" lastClr="FFFFFF"/>
      </a:lt1>
      <a:dk2>
        <a:srgbClr val="44546A"/>
      </a:dk2>
      <a:lt2>
        <a:srgbClr val="E7E6E6"/>
      </a:lt2>
      <a:accent1>
        <a:srgbClr val="00447A"/>
      </a:accent1>
      <a:accent2>
        <a:srgbClr val="007377"/>
      </a:accent2>
      <a:accent3>
        <a:srgbClr val="75787B"/>
      </a:accent3>
      <a:accent4>
        <a:srgbClr val="004F59"/>
      </a:accent4>
      <a:accent5>
        <a:srgbClr val="046A38"/>
      </a:accent5>
      <a:accent6>
        <a:srgbClr val="3EB549"/>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ci25.actonsoftware.com/acton/form/2795/0016:d-0001/0/index.htm" TargetMode="External"/><Relationship Id="rId2" Type="http://schemas.openxmlformats.org/officeDocument/2006/relationships/hyperlink" Target="mailto:ptaylor@hydro-int.com" TargetMode="External"/><Relationship Id="rId1" Type="http://schemas.openxmlformats.org/officeDocument/2006/relationships/hyperlink" Target="mailto:techsupport@hydro-int.com" TargetMode="Externa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4.emf"/><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oleObject" Target="../embeddings/oleObject1.bin"/><Relationship Id="rId5" Type="http://schemas.openxmlformats.org/officeDocument/2006/relationships/image" Target="../media/image3.emf"/><Relationship Id="rId4" Type="http://schemas.openxmlformats.org/officeDocument/2006/relationships/oleObject" Target="../embeddings/Microsoft_Word_97_-_2003_Document.doc"/></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image" Target="../media/image7.emf"/><Relationship Id="rId4" Type="http://schemas.openxmlformats.org/officeDocument/2006/relationships/oleObject" Target="../embeddings/oleObject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5"/>
  <sheetData/>
  <pageMargins left="0.25" right="0.25"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59"/>
  <sheetViews>
    <sheetView tabSelected="1" workbookViewId="0">
      <selection activeCell="C5" sqref="C5:F5"/>
    </sheetView>
  </sheetViews>
  <sheetFormatPr defaultRowHeight="15"/>
  <cols>
    <col min="1" max="1" width="15.7109375" style="177" customWidth="1"/>
    <col min="2" max="3" width="9.140625" style="177"/>
    <col min="4" max="4" width="5.140625" style="177" customWidth="1"/>
    <col min="5" max="5" width="4.28515625" style="177" customWidth="1"/>
    <col min="6" max="6" width="12.5703125" style="177" customWidth="1"/>
    <col min="7" max="7" width="9.42578125" style="177" customWidth="1"/>
    <col min="8" max="8" width="9.140625" style="177" customWidth="1"/>
    <col min="9" max="9" width="3.7109375" style="177" customWidth="1"/>
    <col min="10" max="10" width="3" style="177" customWidth="1"/>
    <col min="11" max="11" width="8.28515625" style="177" customWidth="1"/>
    <col min="12" max="12" width="9.140625" style="177" customWidth="1"/>
    <col min="13" max="16384" width="9.140625" style="177"/>
  </cols>
  <sheetData>
    <row r="1" spans="1:24">
      <c r="A1" s="174"/>
      <c r="B1" s="175"/>
      <c r="C1" s="175"/>
      <c r="D1" s="175"/>
      <c r="E1" s="175"/>
      <c r="F1" s="175"/>
      <c r="G1" s="175"/>
      <c r="H1" s="175"/>
      <c r="I1" s="175"/>
      <c r="J1" s="175"/>
      <c r="K1" s="175" t="s">
        <v>35</v>
      </c>
      <c r="L1" s="176"/>
    </row>
    <row r="2" spans="1:24">
      <c r="A2" s="178"/>
      <c r="B2" s="179"/>
      <c r="C2" s="179"/>
      <c r="D2" s="179"/>
      <c r="E2" s="179"/>
      <c r="F2" s="179"/>
      <c r="G2" s="179"/>
      <c r="H2" s="179"/>
      <c r="I2" s="179"/>
      <c r="J2" s="179"/>
      <c r="K2" s="179"/>
      <c r="L2" s="180"/>
      <c r="M2" s="160" t="s">
        <v>291</v>
      </c>
      <c r="N2" s="159"/>
      <c r="O2" s="159"/>
      <c r="P2" s="159"/>
      <c r="Q2" s="159"/>
      <c r="R2" s="159"/>
    </row>
    <row r="3" spans="1:24">
      <c r="A3" s="178"/>
      <c r="B3" s="179"/>
      <c r="C3" s="179"/>
      <c r="D3" s="179"/>
      <c r="E3" s="179"/>
      <c r="F3" s="179"/>
      <c r="G3" s="179"/>
      <c r="H3" s="179"/>
      <c r="I3" s="179"/>
      <c r="J3" s="179"/>
      <c r="K3" s="179"/>
      <c r="L3" s="180"/>
      <c r="R3" s="179"/>
    </row>
    <row r="4" spans="1:24">
      <c r="A4" s="181"/>
      <c r="B4" s="182"/>
      <c r="C4" s="182"/>
      <c r="D4" s="182"/>
      <c r="E4" s="182"/>
      <c r="F4" s="182"/>
      <c r="G4" s="182"/>
      <c r="H4" s="182"/>
      <c r="I4" s="182"/>
      <c r="J4" s="182"/>
      <c r="K4" s="182"/>
      <c r="L4" s="183"/>
      <c r="M4" s="161"/>
      <c r="N4" s="155" t="s">
        <v>280</v>
      </c>
      <c r="O4" s="162" t="s">
        <v>314</v>
      </c>
      <c r="P4" s="154"/>
      <c r="Q4" s="154"/>
      <c r="R4" s="179"/>
      <c r="S4" s="161" t="s">
        <v>281</v>
      </c>
      <c r="T4" s="154"/>
      <c r="U4" s="154"/>
      <c r="V4" s="154"/>
      <c r="X4" s="154"/>
    </row>
    <row r="5" spans="1:24">
      <c r="A5" s="174"/>
      <c r="B5" s="184" t="s">
        <v>8</v>
      </c>
      <c r="C5" s="266" t="s">
        <v>265</v>
      </c>
      <c r="D5" s="267"/>
      <c r="E5" s="267"/>
      <c r="F5" s="267"/>
      <c r="G5" s="175"/>
      <c r="H5" s="184" t="s">
        <v>18</v>
      </c>
      <c r="I5" s="267"/>
      <c r="J5" s="267"/>
      <c r="K5" s="267"/>
      <c r="L5" s="269"/>
      <c r="M5" s="154"/>
      <c r="N5" s="154"/>
      <c r="O5" s="154"/>
      <c r="P5" s="154"/>
      <c r="Q5" s="154"/>
      <c r="R5" s="179"/>
      <c r="S5" s="154"/>
      <c r="T5" s="154"/>
      <c r="U5" s="154"/>
      <c r="V5" s="154"/>
      <c r="X5" s="154"/>
    </row>
    <row r="6" spans="1:24">
      <c r="A6" s="178"/>
      <c r="B6" s="185" t="s">
        <v>9</v>
      </c>
      <c r="C6" s="268" t="s">
        <v>266</v>
      </c>
      <c r="D6" s="268"/>
      <c r="E6" s="268"/>
      <c r="F6" s="268"/>
      <c r="G6" s="179"/>
      <c r="H6" s="185" t="s">
        <v>13</v>
      </c>
      <c r="I6" s="270"/>
      <c r="J6" s="270"/>
      <c r="K6" s="270"/>
      <c r="L6" s="271"/>
      <c r="M6" s="154"/>
      <c r="N6" s="155" t="s">
        <v>284</v>
      </c>
      <c r="O6" s="156" t="s">
        <v>285</v>
      </c>
      <c r="Q6" s="154"/>
      <c r="R6" s="179"/>
      <c r="T6" s="155" t="s">
        <v>282</v>
      </c>
      <c r="U6" s="156" t="s">
        <v>283</v>
      </c>
      <c r="V6" s="154"/>
      <c r="X6" s="154"/>
    </row>
    <row r="7" spans="1:24" ht="15.75" thickBot="1">
      <c r="A7" s="178"/>
      <c r="B7" s="185" t="s">
        <v>10</v>
      </c>
      <c r="C7" s="268" t="s">
        <v>267</v>
      </c>
      <c r="D7" s="268"/>
      <c r="E7" s="268"/>
      <c r="F7" s="186"/>
      <c r="G7" s="179"/>
      <c r="H7" s="185" t="s">
        <v>14</v>
      </c>
      <c r="I7" s="270"/>
      <c r="J7" s="270"/>
      <c r="K7" s="270"/>
      <c r="L7" s="271"/>
      <c r="M7" s="154"/>
      <c r="N7" s="154"/>
      <c r="O7" s="154"/>
      <c r="P7" s="154"/>
      <c r="Q7" s="154"/>
      <c r="R7" s="179"/>
      <c r="S7" s="154"/>
      <c r="T7" s="154"/>
      <c r="U7" s="154"/>
      <c r="V7" s="154"/>
      <c r="X7" s="154"/>
    </row>
    <row r="8" spans="1:24" ht="15.75" thickBot="1">
      <c r="A8" s="178"/>
      <c r="B8" s="185" t="s">
        <v>11</v>
      </c>
      <c r="C8" s="268" t="s">
        <v>268</v>
      </c>
      <c r="D8" s="268"/>
      <c r="E8" s="268"/>
      <c r="F8" s="186"/>
      <c r="G8" s="179"/>
      <c r="H8" s="185" t="s">
        <v>15</v>
      </c>
      <c r="I8" s="270"/>
      <c r="J8" s="270"/>
      <c r="K8" s="270"/>
      <c r="L8" s="271"/>
      <c r="M8" s="161"/>
      <c r="O8" s="155" t="s">
        <v>286</v>
      </c>
      <c r="P8" s="237" t="s">
        <v>287</v>
      </c>
      <c r="R8" s="179"/>
      <c r="S8" s="179"/>
      <c r="T8" s="179"/>
      <c r="U8" s="179"/>
      <c r="V8" s="179"/>
      <c r="X8" s="179"/>
    </row>
    <row r="9" spans="1:24">
      <c r="A9" s="178"/>
      <c r="B9" s="185" t="s">
        <v>253</v>
      </c>
      <c r="C9" s="268" t="s">
        <v>269</v>
      </c>
      <c r="D9" s="268"/>
      <c r="E9" s="268"/>
      <c r="F9" s="186"/>
      <c r="G9" s="179"/>
      <c r="H9" s="185" t="s">
        <v>16</v>
      </c>
      <c r="I9" s="270"/>
      <c r="J9" s="270"/>
      <c r="K9" s="270"/>
      <c r="L9" s="271"/>
      <c r="M9" s="154"/>
      <c r="N9" s="154"/>
      <c r="O9" s="154"/>
      <c r="P9" s="154"/>
      <c r="Q9" s="154"/>
      <c r="R9" s="179"/>
      <c r="S9" s="179"/>
      <c r="T9" s="179"/>
      <c r="U9" s="179"/>
      <c r="V9" s="179"/>
      <c r="X9" s="179"/>
    </row>
    <row r="10" spans="1:24">
      <c r="A10" s="178"/>
      <c r="B10" s="185" t="s">
        <v>12</v>
      </c>
      <c r="C10" s="268" t="s">
        <v>270</v>
      </c>
      <c r="D10" s="268"/>
      <c r="E10" s="268"/>
      <c r="F10" s="186"/>
      <c r="G10" s="179"/>
      <c r="H10" s="179"/>
      <c r="I10" s="179"/>
      <c r="J10" s="179"/>
      <c r="K10" s="179"/>
      <c r="L10" s="180"/>
      <c r="M10" s="154"/>
      <c r="P10" s="154"/>
      <c r="Q10" s="154"/>
      <c r="R10" s="179"/>
      <c r="S10" s="179"/>
      <c r="T10" s="179"/>
      <c r="X10" s="179"/>
    </row>
    <row r="11" spans="1:24" ht="12.95" customHeight="1">
      <c r="A11" s="181"/>
      <c r="B11" s="187"/>
      <c r="C11" s="182"/>
      <c r="D11" s="182"/>
      <c r="E11" s="182"/>
      <c r="F11" s="182"/>
      <c r="G11" s="182"/>
      <c r="H11" s="182"/>
      <c r="I11" s="182"/>
      <c r="J11" s="182"/>
      <c r="K11" s="182"/>
      <c r="L11" s="183"/>
      <c r="M11" s="160" t="s">
        <v>290</v>
      </c>
      <c r="N11" s="159"/>
      <c r="O11" s="159"/>
      <c r="P11" s="159"/>
      <c r="Q11" s="159"/>
      <c r="R11" s="159"/>
      <c r="S11" s="179"/>
      <c r="T11" s="179"/>
      <c r="U11" s="179"/>
      <c r="V11" s="179"/>
      <c r="X11" s="179"/>
    </row>
    <row r="12" spans="1:24">
      <c r="A12" s="188" t="s">
        <v>211</v>
      </c>
      <c r="B12" s="189"/>
      <c r="C12" s="189"/>
      <c r="D12" s="175"/>
      <c r="E12" s="175"/>
      <c r="F12" s="175"/>
      <c r="G12" s="190" t="s">
        <v>74</v>
      </c>
      <c r="H12" s="172" t="s">
        <v>311</v>
      </c>
      <c r="I12" s="191"/>
      <c r="J12" s="175"/>
      <c r="K12" s="175"/>
      <c r="L12" s="176"/>
      <c r="M12" s="154"/>
      <c r="N12" s="157"/>
      <c r="O12" s="158"/>
      <c r="P12" s="154"/>
      <c r="Q12" s="154"/>
      <c r="R12" s="179"/>
      <c r="S12" s="179"/>
      <c r="T12" s="179"/>
      <c r="U12" s="179"/>
      <c r="V12" s="179"/>
      <c r="X12" s="179"/>
    </row>
    <row r="13" spans="1:24" ht="15" customHeight="1">
      <c r="A13" s="192"/>
      <c r="B13" s="186"/>
      <c r="C13" s="186"/>
      <c r="D13" s="186"/>
      <c r="E13" s="186"/>
      <c r="F13" s="186"/>
      <c r="G13" s="179"/>
      <c r="H13" s="179"/>
      <c r="I13" s="179"/>
      <c r="J13" s="179"/>
      <c r="K13" s="179"/>
      <c r="L13" s="180"/>
      <c r="M13" s="256" t="s">
        <v>292</v>
      </c>
      <c r="N13" s="256"/>
      <c r="O13" s="256"/>
      <c r="P13" s="256"/>
      <c r="Q13" s="256"/>
      <c r="R13" s="256"/>
      <c r="S13" s="256"/>
      <c r="T13" s="256"/>
      <c r="U13" s="256"/>
      <c r="V13" s="256"/>
      <c r="W13" s="256"/>
      <c r="X13" s="179"/>
    </row>
    <row r="14" spans="1:24">
      <c r="A14" s="193"/>
      <c r="B14" s="194" t="s">
        <v>168</v>
      </c>
      <c r="C14" s="163">
        <v>80</v>
      </c>
      <c r="D14" s="186" t="s">
        <v>4</v>
      </c>
      <c r="E14" s="186"/>
      <c r="F14" s="186"/>
      <c r="G14" s="179"/>
      <c r="H14" s="185" t="s">
        <v>157</v>
      </c>
      <c r="I14" s="278" t="s">
        <v>312</v>
      </c>
      <c r="J14" s="278"/>
      <c r="K14" s="195"/>
      <c r="L14" s="180"/>
      <c r="M14" s="171"/>
      <c r="N14" s="171"/>
      <c r="O14" s="171"/>
      <c r="P14" s="171"/>
      <c r="Q14" s="171"/>
      <c r="R14" s="171"/>
      <c r="S14" s="171"/>
      <c r="T14" s="171"/>
      <c r="U14" s="171"/>
      <c r="V14" s="171"/>
    </row>
    <row r="15" spans="1:24">
      <c r="A15" s="192"/>
      <c r="B15" s="185" t="s">
        <v>135</v>
      </c>
      <c r="C15" s="164">
        <v>425</v>
      </c>
      <c r="D15" s="186" t="s">
        <v>27</v>
      </c>
      <c r="E15" s="186"/>
      <c r="F15" s="186"/>
      <c r="G15" s="179"/>
      <c r="H15" s="185" t="s">
        <v>156</v>
      </c>
      <c r="I15" s="279" t="s">
        <v>252</v>
      </c>
      <c r="J15" s="279"/>
      <c r="K15" s="279"/>
      <c r="L15" s="180"/>
      <c r="M15" s="258" t="s">
        <v>297</v>
      </c>
      <c r="N15" s="257"/>
      <c r="O15" s="257"/>
      <c r="P15" s="257"/>
      <c r="Q15" s="257"/>
      <c r="R15" s="257"/>
      <c r="S15" s="257"/>
      <c r="T15" s="257"/>
      <c r="U15" s="257"/>
      <c r="V15" s="257"/>
      <c r="W15" s="257"/>
    </row>
    <row r="16" spans="1:24">
      <c r="A16" s="192"/>
      <c r="B16" s="185" t="s">
        <v>126</v>
      </c>
      <c r="C16" s="164">
        <v>10</v>
      </c>
      <c r="D16" s="196" t="str">
        <f>IF($H$12="US","cfs","L/s")</f>
        <v>cfs</v>
      </c>
      <c r="E16" s="196"/>
      <c r="F16" s="186"/>
      <c r="G16" s="179"/>
      <c r="H16" s="185" t="s">
        <v>288</v>
      </c>
      <c r="I16" s="264">
        <v>20</v>
      </c>
      <c r="J16" s="264"/>
      <c r="K16" s="179" t="str">
        <f>IF($H$12="US","cfs","L/s")</f>
        <v>cfs</v>
      </c>
      <c r="L16" s="180"/>
      <c r="M16" s="257" t="s">
        <v>293</v>
      </c>
      <c r="N16" s="257"/>
      <c r="O16" s="257"/>
      <c r="P16" s="257"/>
      <c r="Q16" s="257"/>
      <c r="R16" s="257"/>
      <c r="S16" s="257"/>
      <c r="T16" s="257"/>
      <c r="U16" s="257"/>
      <c r="V16" s="257"/>
      <c r="W16" s="257"/>
    </row>
    <row r="17" spans="1:23">
      <c r="A17" s="197"/>
      <c r="B17" s="198"/>
      <c r="C17" s="199"/>
      <c r="D17" s="200"/>
      <c r="E17" s="200"/>
      <c r="F17" s="201"/>
      <c r="G17" s="182"/>
      <c r="H17" s="182"/>
      <c r="I17" s="182"/>
      <c r="J17" s="182"/>
      <c r="K17" s="182"/>
      <c r="L17" s="183"/>
    </row>
    <row r="18" spans="1:23">
      <c r="A18" s="188" t="s">
        <v>302</v>
      </c>
      <c r="B18" s="175"/>
      <c r="C18" s="175"/>
      <c r="D18" s="175"/>
      <c r="E18" s="202"/>
      <c r="F18" s="189"/>
      <c r="G18" s="175"/>
      <c r="H18" s="175"/>
      <c r="I18" s="175"/>
      <c r="J18" s="175"/>
      <c r="K18" s="175"/>
      <c r="L18" s="176"/>
      <c r="M18" s="160" t="s">
        <v>294</v>
      </c>
      <c r="N18" s="159"/>
      <c r="O18" s="159"/>
      <c r="P18" s="159"/>
      <c r="Q18" s="159"/>
      <c r="R18" s="159"/>
    </row>
    <row r="19" spans="1:23" ht="15" customHeight="1">
      <c r="A19" s="192"/>
      <c r="B19" s="179"/>
      <c r="C19" s="179"/>
      <c r="D19" s="179"/>
      <c r="E19" s="196"/>
      <c r="F19" s="186"/>
      <c r="G19" s="179"/>
      <c r="H19" s="179"/>
      <c r="I19" s="179"/>
      <c r="J19" s="179"/>
      <c r="K19" s="179"/>
      <c r="L19" s="180"/>
    </row>
    <row r="20" spans="1:23" ht="15" customHeight="1">
      <c r="A20" s="265" t="s">
        <v>224</v>
      </c>
      <c r="B20" s="265" t="s">
        <v>254</v>
      </c>
      <c r="C20" s="265" t="s">
        <v>249</v>
      </c>
      <c r="D20" s="265"/>
      <c r="E20" s="265" t="s">
        <v>159</v>
      </c>
      <c r="F20" s="265"/>
      <c r="G20" s="179"/>
      <c r="H20" s="179"/>
      <c r="I20" s="179"/>
      <c r="J20" s="179"/>
      <c r="K20" s="179"/>
      <c r="L20" s="180"/>
      <c r="M20" s="177" t="s">
        <v>296</v>
      </c>
    </row>
    <row r="21" spans="1:23" ht="15" customHeight="1">
      <c r="A21" s="265"/>
      <c r="B21" s="265"/>
      <c r="C21" s="265"/>
      <c r="D21" s="265"/>
      <c r="E21" s="265"/>
      <c r="F21" s="265"/>
      <c r="G21" s="179"/>
      <c r="H21" s="179"/>
      <c r="I21" s="179"/>
      <c r="J21" s="179"/>
      <c r="K21" s="179"/>
      <c r="L21" s="180"/>
      <c r="M21" s="203"/>
      <c r="N21" s="186"/>
      <c r="O21" s="186"/>
      <c r="P21" s="186"/>
      <c r="Q21" s="179"/>
    </row>
    <row r="22" spans="1:23" ht="15" customHeight="1">
      <c r="A22" s="204" t="s">
        <v>171</v>
      </c>
      <c r="B22" s="205">
        <f>WQFCalc!E34</f>
        <v>0.89</v>
      </c>
      <c r="C22" s="260" t="str">
        <f>IF($H$12="US",WQFCalc!AB69,WQFCalc!AB78)</f>
        <v>32 in</v>
      </c>
      <c r="D22" s="260"/>
      <c r="E22" s="260" t="str">
        <f>IF(WQFCalc!$D$53=1,WQFCalc!AC69,WQFCalc!AC78)</f>
        <v>33.6 cfs</v>
      </c>
      <c r="F22" s="260"/>
      <c r="G22" s="179"/>
      <c r="H22" s="179"/>
      <c r="I22" s="179"/>
      <c r="J22" s="179"/>
      <c r="K22" s="179"/>
      <c r="L22" s="180"/>
      <c r="M22" s="259" t="s">
        <v>298</v>
      </c>
      <c r="N22" s="259"/>
      <c r="O22" s="259"/>
      <c r="P22" s="259"/>
      <c r="Q22" s="259"/>
      <c r="R22" s="259"/>
      <c r="S22" s="259"/>
      <c r="T22" s="259"/>
      <c r="U22" s="259"/>
      <c r="V22" s="259"/>
      <c r="W22" s="259"/>
    </row>
    <row r="23" spans="1:23">
      <c r="A23" s="204" t="s">
        <v>172</v>
      </c>
      <c r="B23" s="205">
        <f>WQFCalc!E35</f>
        <v>1</v>
      </c>
      <c r="C23" s="260" t="str">
        <f>IF($H$12="US",WQFCalc!AB70,WQFCalc!AB79)</f>
        <v>42 in</v>
      </c>
      <c r="D23" s="260"/>
      <c r="E23" s="260" t="str">
        <f>IF(WQFCalc!$D$53=1,WQFCalc!AC70,WQFCalc!AC79)</f>
        <v>66.4 cfs</v>
      </c>
      <c r="F23" s="260"/>
      <c r="G23" s="179"/>
      <c r="H23" s="179"/>
      <c r="I23" s="179"/>
      <c r="J23" s="179"/>
      <c r="K23" s="179"/>
      <c r="L23" s="180"/>
      <c r="M23" s="259"/>
      <c r="N23" s="259"/>
      <c r="O23" s="259"/>
      <c r="P23" s="259"/>
      <c r="Q23" s="259"/>
      <c r="R23" s="259"/>
      <c r="S23" s="259"/>
      <c r="T23" s="259"/>
      <c r="U23" s="259"/>
      <c r="V23" s="259"/>
      <c r="W23" s="259"/>
    </row>
    <row r="24" spans="1:23">
      <c r="A24" s="204" t="s">
        <v>173</v>
      </c>
      <c r="B24" s="205">
        <f>WQFCalc!E36</f>
        <v>1</v>
      </c>
      <c r="C24" s="260" t="str">
        <f>IF($H$12="US",WQFCalc!AB71,WQFCalc!AB80)</f>
        <v>48 in</v>
      </c>
      <c r="D24" s="260"/>
      <c r="E24" s="260" t="str">
        <f>IF(WQFCalc!$D$53=1,WQFCalc!AC71,WQFCalc!AC80)</f>
        <v>92.7 cfs</v>
      </c>
      <c r="F24" s="260"/>
      <c r="G24" s="179"/>
      <c r="H24" s="179"/>
      <c r="I24" s="179"/>
      <c r="J24" s="179"/>
      <c r="K24" s="179"/>
      <c r="L24" s="180"/>
    </row>
    <row r="25" spans="1:23">
      <c r="A25" s="204" t="s">
        <v>174</v>
      </c>
      <c r="B25" s="205">
        <f>WQFCalc!E37</f>
        <v>1</v>
      </c>
      <c r="C25" s="260" t="str">
        <f>IF($H$12="US",WQFCalc!AB72,WQFCalc!AB81)</f>
        <v>54 in</v>
      </c>
      <c r="D25" s="260"/>
      <c r="E25" s="260" t="str">
        <f>IF(WQFCalc!$D$53=1,WQFCalc!AC72,WQFCalc!AC81)</f>
        <v>124.4 cfs</v>
      </c>
      <c r="F25" s="260"/>
      <c r="G25" s="179"/>
      <c r="H25" s="179"/>
      <c r="I25" s="179"/>
      <c r="J25" s="179"/>
      <c r="K25" s="179"/>
      <c r="L25" s="180"/>
    </row>
    <row r="26" spans="1:23">
      <c r="A26" s="204" t="s">
        <v>175</v>
      </c>
      <c r="B26" s="205">
        <f>WQFCalc!E38</f>
        <v>1</v>
      </c>
      <c r="C26" s="260" t="str">
        <f>IF($H$12="US",WQFCalc!AB73,WQFCalc!AB82)</f>
        <v>60 in</v>
      </c>
      <c r="D26" s="260"/>
      <c r="E26" s="260" t="str">
        <f>IF(WQFCalc!$D$53=1,WQFCalc!AC73,WQFCalc!AC82)</f>
        <v>161.9 cfs</v>
      </c>
      <c r="F26" s="260"/>
      <c r="G26" s="179"/>
      <c r="H26" s="179"/>
      <c r="I26" s="179"/>
      <c r="J26" s="179"/>
      <c r="K26" s="179"/>
      <c r="L26" s="180"/>
      <c r="M26" s="160" t="s">
        <v>295</v>
      </c>
      <c r="N26" s="159"/>
      <c r="O26" s="159"/>
      <c r="P26" s="159"/>
      <c r="Q26" s="159"/>
      <c r="R26" s="159"/>
    </row>
    <row r="27" spans="1:23" ht="12.95" customHeight="1">
      <c r="A27" s="197"/>
      <c r="B27" s="198"/>
      <c r="C27" s="199"/>
      <c r="D27" s="200"/>
      <c r="E27" s="200"/>
      <c r="F27" s="201"/>
      <c r="G27" s="182"/>
      <c r="H27" s="182"/>
      <c r="I27" s="182"/>
      <c r="J27" s="182"/>
      <c r="K27" s="182"/>
      <c r="L27" s="183"/>
    </row>
    <row r="28" spans="1:23" ht="15" customHeight="1">
      <c r="A28" s="188" t="s">
        <v>307</v>
      </c>
      <c r="B28" s="189"/>
      <c r="C28" s="189"/>
      <c r="D28" s="189"/>
      <c r="E28" s="189"/>
      <c r="F28" s="175"/>
      <c r="G28" s="175"/>
      <c r="H28" s="175"/>
      <c r="I28" s="175"/>
      <c r="J28" s="175"/>
      <c r="K28" s="175"/>
      <c r="L28" s="176"/>
      <c r="M28" s="261" t="s">
        <v>306</v>
      </c>
      <c r="N28" s="262"/>
      <c r="O28" s="262"/>
      <c r="P28" s="262"/>
      <c r="Q28" s="262"/>
      <c r="R28" s="262"/>
      <c r="S28" s="262"/>
      <c r="T28" s="262"/>
      <c r="U28" s="262"/>
      <c r="V28" s="262"/>
      <c r="W28" s="263"/>
    </row>
    <row r="29" spans="1:23" ht="15.75" customHeight="1">
      <c r="A29" s="192"/>
      <c r="B29" s="186"/>
      <c r="C29" s="186"/>
      <c r="D29" s="186"/>
      <c r="E29" s="186"/>
      <c r="F29" s="179"/>
      <c r="G29" s="179"/>
      <c r="H29" s="179"/>
      <c r="I29" s="179"/>
      <c r="J29" s="179"/>
      <c r="K29" s="179"/>
      <c r="L29" s="180"/>
      <c r="M29" s="206"/>
      <c r="N29" s="207"/>
      <c r="O29" s="207"/>
      <c r="P29" s="207"/>
      <c r="Q29" s="207"/>
      <c r="R29" s="207"/>
      <c r="S29" s="207"/>
      <c r="T29" s="207"/>
      <c r="U29" s="207"/>
      <c r="V29" s="207"/>
      <c r="W29" s="208"/>
    </row>
    <row r="30" spans="1:23" ht="15" customHeight="1">
      <c r="A30" s="192"/>
      <c r="B30" s="209" t="s">
        <v>239</v>
      </c>
      <c r="C30" s="170">
        <v>5</v>
      </c>
      <c r="D30" s="196" t="str">
        <f>IF($H$12="US","ft","m")</f>
        <v>ft</v>
      </c>
      <c r="E30" s="196"/>
      <c r="F30" s="280" t="s">
        <v>289</v>
      </c>
      <c r="G30" s="281"/>
      <c r="H30" s="281"/>
      <c r="I30" s="281"/>
      <c r="J30" s="281"/>
      <c r="K30" s="282"/>
      <c r="L30" s="180"/>
      <c r="M30" s="249" t="str">
        <f>"Based on the Treatment Parameters and Short Side Length the Long Side Length should be "&amp;WQFCalc!Z13&amp;" to optimize the vault to exactly meet the treatment parameters"</f>
        <v>Based on the Treatment Parameters and Short Side Length the Long Side Length should be 4.96 ft to optimize the vault to exactly meet the treatment parameters</v>
      </c>
      <c r="N30" s="250"/>
      <c r="O30" s="250"/>
      <c r="P30" s="250"/>
      <c r="Q30" s="250"/>
      <c r="R30" s="250"/>
      <c r="S30" s="250"/>
      <c r="T30" s="250"/>
      <c r="U30" s="250"/>
      <c r="V30" s="250"/>
      <c r="W30" s="251"/>
    </row>
    <row r="31" spans="1:23" ht="15" customHeight="1">
      <c r="A31" s="192"/>
      <c r="B31" s="209" t="s">
        <v>275</v>
      </c>
      <c r="C31" s="165">
        <v>15</v>
      </c>
      <c r="D31" s="196" t="str">
        <f>IF($H$12="US","ft","m")</f>
        <v>ft</v>
      </c>
      <c r="E31" s="196"/>
      <c r="F31" s="244" t="s">
        <v>224</v>
      </c>
      <c r="G31" s="244" t="s">
        <v>254</v>
      </c>
      <c r="H31" s="244" t="s">
        <v>299</v>
      </c>
      <c r="I31" s="244" t="s">
        <v>159</v>
      </c>
      <c r="J31" s="244"/>
      <c r="K31" s="244"/>
      <c r="L31" s="180"/>
      <c r="M31" s="252"/>
      <c r="N31" s="253"/>
      <c r="O31" s="253"/>
      <c r="P31" s="253"/>
      <c r="Q31" s="253"/>
      <c r="R31" s="253"/>
      <c r="S31" s="253"/>
      <c r="T31" s="253"/>
      <c r="U31" s="253"/>
      <c r="V31" s="253"/>
      <c r="W31" s="254"/>
    </row>
    <row r="32" spans="1:23" ht="15" customHeight="1">
      <c r="A32" s="192"/>
      <c r="B32" s="209" t="s">
        <v>238</v>
      </c>
      <c r="C32" s="210">
        <f>Project!C30*Project!C31</f>
        <v>75</v>
      </c>
      <c r="D32" s="196" t="str">
        <f>IF($H$12="US","sq.ft","sq.m")</f>
        <v>sq.ft</v>
      </c>
      <c r="E32" s="196"/>
      <c r="F32" s="244"/>
      <c r="G32" s="244"/>
      <c r="H32" s="244"/>
      <c r="I32" s="244"/>
      <c r="J32" s="244"/>
      <c r="K32" s="244"/>
      <c r="L32" s="180"/>
      <c r="M32" s="211" t="s">
        <v>308</v>
      </c>
      <c r="N32" s="212"/>
      <c r="O32" s="212"/>
      <c r="P32" s="212"/>
      <c r="Q32" s="212"/>
      <c r="R32" s="212"/>
      <c r="S32" s="212"/>
      <c r="T32" s="212"/>
      <c r="U32" s="212"/>
      <c r="V32" s="212"/>
      <c r="W32" s="213"/>
    </row>
    <row r="33" spans="1:23" ht="15" customHeight="1">
      <c r="A33" s="192"/>
      <c r="B33" s="209" t="s">
        <v>225</v>
      </c>
      <c r="C33" s="186" t="str">
        <f>WQFCalc!L11</f>
        <v>HDS5X15</v>
      </c>
      <c r="D33" s="186"/>
      <c r="E33" s="186"/>
      <c r="F33" s="214" t="str">
        <f>C33</f>
        <v>HDS5X15</v>
      </c>
      <c r="G33" s="215">
        <f>WQFCalc!K29</f>
        <v>1</v>
      </c>
      <c r="H33" s="216" t="str">
        <f>IF($H$12="US",WQFCalc!AB74,WQFCalc!AB83)</f>
        <v>38 in</v>
      </c>
      <c r="I33" s="216"/>
      <c r="J33" s="216" t="str">
        <f>IF(WQFCalc!$D$53=1,WQFCalc!AC74,WQFCalc!AC83)</f>
        <v>51.7 cfs</v>
      </c>
      <c r="K33" s="217"/>
      <c r="L33" s="180"/>
      <c r="M33" s="218" t="str">
        <f>WQFCalc!U33</f>
        <v xml:space="preserve"> </v>
      </c>
      <c r="N33" s="154"/>
      <c r="O33" s="154"/>
      <c r="P33" s="154"/>
      <c r="Q33" s="154"/>
      <c r="R33" s="154"/>
      <c r="S33" s="154"/>
      <c r="T33" s="154"/>
      <c r="U33" s="154"/>
      <c r="V33" s="154"/>
      <c r="W33" s="219"/>
    </row>
    <row r="34" spans="1:23" ht="12.95" customHeight="1">
      <c r="A34" s="181"/>
      <c r="B34" s="201"/>
      <c r="C34" s="201"/>
      <c r="D34" s="201"/>
      <c r="E34" s="201"/>
      <c r="F34" s="182"/>
      <c r="G34" s="182"/>
      <c r="H34" s="182"/>
      <c r="I34" s="182"/>
      <c r="J34" s="182"/>
      <c r="K34" s="182"/>
      <c r="L34" s="183"/>
      <c r="M34" s="220" t="str">
        <f>WQFCalc!U34</f>
        <v xml:space="preserve"> </v>
      </c>
      <c r="N34" s="182"/>
      <c r="O34" s="182"/>
      <c r="P34" s="182"/>
      <c r="Q34" s="182"/>
      <c r="R34" s="182"/>
      <c r="S34" s="182"/>
      <c r="T34" s="182"/>
      <c r="U34" s="182"/>
      <c r="V34" s="182"/>
      <c r="W34" s="183"/>
    </row>
    <row r="35" spans="1:23" ht="15" customHeight="1">
      <c r="A35" s="188" t="s">
        <v>301</v>
      </c>
      <c r="B35" s="189"/>
      <c r="C35" s="189"/>
      <c r="D35" s="189"/>
      <c r="E35" s="189"/>
      <c r="F35" s="189"/>
      <c r="G35" s="221"/>
      <c r="H35" s="221"/>
      <c r="I35" s="222"/>
      <c r="J35" s="222"/>
      <c r="K35" s="222"/>
      <c r="L35" s="175"/>
      <c r="M35" s="179" t="s">
        <v>309</v>
      </c>
    </row>
    <row r="36" spans="1:23" ht="15" customHeight="1">
      <c r="A36" s="223" t="s">
        <v>310</v>
      </c>
      <c r="B36" s="239" t="s">
        <v>313</v>
      </c>
      <c r="C36" s="239"/>
      <c r="D36" s="186"/>
      <c r="E36" s="186"/>
      <c r="F36" s="224"/>
      <c r="G36" s="223" t="s">
        <v>129</v>
      </c>
      <c r="H36" s="255" t="s">
        <v>161</v>
      </c>
      <c r="I36" s="255"/>
      <c r="J36" s="179"/>
      <c r="K36" s="179"/>
      <c r="L36" s="179"/>
      <c r="M36" s="238"/>
      <c r="N36" s="179"/>
      <c r="O36" s="179"/>
      <c r="P36" s="179"/>
      <c r="Q36" s="179"/>
    </row>
    <row r="37" spans="1:23" ht="15" customHeight="1">
      <c r="A37" s="192"/>
      <c r="B37" s="186"/>
      <c r="C37" s="225"/>
      <c r="D37" s="225"/>
      <c r="E37" s="225"/>
      <c r="F37" s="225"/>
      <c r="G37" s="225"/>
      <c r="H37" s="225"/>
      <c r="I37" s="225"/>
      <c r="J37" s="225"/>
      <c r="K37" s="225"/>
      <c r="L37" s="180"/>
      <c r="M37" s="245" t="s">
        <v>303</v>
      </c>
      <c r="N37" s="246"/>
    </row>
    <row r="38" spans="1:23" ht="15" customHeight="1">
      <c r="A38" s="178"/>
      <c r="B38" s="223" t="s">
        <v>127</v>
      </c>
      <c r="C38" s="239" t="s">
        <v>167</v>
      </c>
      <c r="D38" s="239"/>
      <c r="E38" s="239"/>
      <c r="F38" s="186"/>
      <c r="G38" s="226" t="s">
        <v>26</v>
      </c>
      <c r="H38" s="169">
        <v>100</v>
      </c>
      <c r="I38" s="196" t="str">
        <f>IF($H$12="US","ft","m")</f>
        <v>ft</v>
      </c>
      <c r="J38" s="179"/>
      <c r="K38" s="179"/>
      <c r="L38" s="180"/>
      <c r="M38" s="247"/>
      <c r="N38" s="248"/>
    </row>
    <row r="39" spans="1:23">
      <c r="A39" s="178"/>
      <c r="B39" s="223" t="s">
        <v>128</v>
      </c>
      <c r="C39" s="167" t="s">
        <v>165</v>
      </c>
      <c r="D39" s="227" t="str">
        <f>IF(C39="Offline","Contact Hydro for advice"," ")</f>
        <v xml:space="preserve"> </v>
      </c>
      <c r="E39" s="186"/>
      <c r="F39" s="186"/>
      <c r="G39" s="226" t="s">
        <v>82</v>
      </c>
      <c r="H39" s="166">
        <v>95</v>
      </c>
      <c r="I39" s="196" t="str">
        <f>IF($H$12="US","ft","m")</f>
        <v>ft</v>
      </c>
      <c r="J39" s="179"/>
      <c r="K39" s="179"/>
      <c r="L39" s="180"/>
      <c r="M39" s="240" t="str">
        <f>WQFCalc!M62</f>
        <v>OK</v>
      </c>
      <c r="N39" s="241"/>
    </row>
    <row r="40" spans="1:23">
      <c r="A40" s="178"/>
      <c r="B40" s="223" t="s">
        <v>81</v>
      </c>
      <c r="C40" s="168">
        <v>48</v>
      </c>
      <c r="D40" s="196" t="str">
        <f>IF($H$12="US","in","mm")</f>
        <v>in</v>
      </c>
      <c r="E40" s="186" t="str">
        <f>WQFCalc!E62</f>
        <v>Max. 38in</v>
      </c>
      <c r="F40" s="228"/>
      <c r="G40" s="226" t="s">
        <v>1</v>
      </c>
      <c r="H40" s="166">
        <f>H39</f>
        <v>95</v>
      </c>
      <c r="I40" s="196" t="str">
        <f>IF($H$12="US","ft","m")</f>
        <v>ft</v>
      </c>
      <c r="J40" s="179"/>
      <c r="K40" s="179"/>
      <c r="L40" s="180"/>
      <c r="M40" s="242" t="str">
        <f>WQFCalc!M63</f>
        <v>OK</v>
      </c>
      <c r="N40" s="243"/>
    </row>
    <row r="41" spans="1:23" ht="15" customHeight="1">
      <c r="A41" s="178"/>
      <c r="B41" s="223" t="s">
        <v>0</v>
      </c>
      <c r="C41" s="168">
        <v>48</v>
      </c>
      <c r="D41" s="196" t="str">
        <f>IF($H$12="US","in","mm")</f>
        <v>in</v>
      </c>
      <c r="E41" s="186" t="str">
        <f>WQFCalc!E63</f>
        <v>Max. 38in</v>
      </c>
      <c r="F41" s="225"/>
      <c r="G41" s="179"/>
      <c r="H41" s="179"/>
      <c r="I41" s="179"/>
      <c r="J41" s="179"/>
      <c r="K41" s="186"/>
      <c r="L41" s="180"/>
    </row>
    <row r="42" spans="1:23" ht="15" customHeight="1">
      <c r="A42" s="178"/>
      <c r="B42" s="229" t="s">
        <v>256</v>
      </c>
      <c r="C42" s="173">
        <f>WQFCalc!AG70</f>
        <v>92.70030267898639</v>
      </c>
      <c r="D42" s="196" t="str">
        <f>IF($H$12="US","cfs","L/s")</f>
        <v>cfs</v>
      </c>
      <c r="E42" s="225" t="s">
        <v>264</v>
      </c>
      <c r="F42" s="179"/>
      <c r="G42" s="226"/>
      <c r="H42" s="230"/>
      <c r="I42" s="196"/>
      <c r="J42" s="225"/>
      <c r="K42" s="231"/>
      <c r="L42" s="180"/>
    </row>
    <row r="43" spans="1:23" ht="15" customHeight="1">
      <c r="A43" s="197" t="s">
        <v>263</v>
      </c>
      <c r="B43" s="201"/>
      <c r="C43" s="201"/>
      <c r="D43" s="201"/>
      <c r="E43" s="201"/>
      <c r="F43" s="201"/>
      <c r="G43" s="201"/>
      <c r="H43" s="201"/>
      <c r="I43" s="201"/>
      <c r="J43" s="201"/>
      <c r="K43" s="201"/>
      <c r="L43" s="183"/>
    </row>
    <row r="44" spans="1:23">
      <c r="A44" s="232" t="s">
        <v>121</v>
      </c>
      <c r="B44" s="233"/>
      <c r="C44" s="233"/>
      <c r="D44" s="233"/>
      <c r="E44" s="233"/>
      <c r="F44" s="233"/>
      <c r="G44" s="233"/>
      <c r="H44" s="233"/>
      <c r="I44" s="233"/>
      <c r="J44" s="233"/>
      <c r="K44" s="233"/>
      <c r="L44" s="176"/>
    </row>
    <row r="45" spans="1:23">
      <c r="A45" s="272"/>
      <c r="B45" s="273"/>
      <c r="C45" s="273"/>
      <c r="D45" s="273"/>
      <c r="E45" s="273"/>
      <c r="F45" s="273"/>
      <c r="G45" s="273"/>
      <c r="H45" s="273"/>
      <c r="I45" s="273"/>
      <c r="J45" s="273"/>
      <c r="K45" s="273"/>
      <c r="L45" s="274"/>
    </row>
    <row r="46" spans="1:23">
      <c r="A46" s="272"/>
      <c r="B46" s="273"/>
      <c r="C46" s="273"/>
      <c r="D46" s="273"/>
      <c r="E46" s="273"/>
      <c r="F46" s="273"/>
      <c r="G46" s="273"/>
      <c r="H46" s="273"/>
      <c r="I46" s="273"/>
      <c r="J46" s="273"/>
      <c r="K46" s="273"/>
      <c r="L46" s="274"/>
    </row>
    <row r="47" spans="1:23">
      <c r="A47" s="275"/>
      <c r="B47" s="276"/>
      <c r="C47" s="276"/>
      <c r="D47" s="276"/>
      <c r="E47" s="276"/>
      <c r="F47" s="276"/>
      <c r="G47" s="276"/>
      <c r="H47" s="276"/>
      <c r="I47" s="276"/>
      <c r="J47" s="276"/>
      <c r="K47" s="276"/>
      <c r="L47" s="277"/>
    </row>
    <row r="48" spans="1:23">
      <c r="A48" s="234"/>
      <c r="B48" s="234"/>
      <c r="C48" s="234"/>
      <c r="D48" s="234"/>
      <c r="E48" s="234"/>
      <c r="F48" s="234"/>
      <c r="G48" s="234"/>
      <c r="H48" s="234"/>
      <c r="I48" s="234"/>
      <c r="J48" s="234"/>
      <c r="K48" s="234"/>
    </row>
    <row r="51" spans="1:16">
      <c r="K51" s="186"/>
      <c r="L51" s="179"/>
    </row>
    <row r="52" spans="1:16">
      <c r="K52" s="235"/>
      <c r="L52" s="179"/>
    </row>
    <row r="53" spans="1:16">
      <c r="K53" s="179"/>
      <c r="L53" s="179"/>
    </row>
    <row r="54" spans="1:16">
      <c r="K54" s="179"/>
      <c r="L54" s="179"/>
      <c r="M54" s="179"/>
      <c r="N54" s="179"/>
      <c r="O54" s="179"/>
      <c r="P54" s="179"/>
    </row>
    <row r="55" spans="1:16">
      <c r="K55" s="179"/>
      <c r="L55" s="179"/>
      <c r="M55" s="179"/>
      <c r="N55" s="235"/>
      <c r="O55" s="179"/>
      <c r="P55" s="179"/>
    </row>
    <row r="56" spans="1:16">
      <c r="A56" s="235"/>
      <c r="B56" s="236"/>
      <c r="C56" s="236"/>
      <c r="D56" s="235"/>
      <c r="E56" s="235"/>
      <c r="F56" s="235"/>
      <c r="G56" s="235"/>
      <c r="H56" s="236"/>
      <c r="I56" s="235"/>
      <c r="J56" s="236"/>
      <c r="K56" s="179"/>
      <c r="L56" s="179"/>
      <c r="M56" s="179"/>
      <c r="N56" s="235"/>
      <c r="O56" s="236"/>
      <c r="P56" s="179"/>
    </row>
    <row r="57" spans="1:16">
      <c r="M57" s="179"/>
      <c r="N57" s="235"/>
      <c r="O57" s="236"/>
      <c r="P57" s="179"/>
    </row>
    <row r="58" spans="1:16">
      <c r="M58" s="179"/>
      <c r="N58" s="179"/>
      <c r="O58" s="179"/>
      <c r="P58" s="179"/>
    </row>
    <row r="59" spans="1:16">
      <c r="M59" s="179"/>
      <c r="N59" s="179"/>
      <c r="O59" s="179"/>
      <c r="P59" s="179"/>
    </row>
  </sheetData>
  <sheetProtection algorithmName="SHA-512" hashValue="uXNaSz71Pm+1jbcgqFlkfPDUsUYdOtf9RFE0E7ktP7TFCh/SNTkynGgIGo0/ijV405DoJoKcGysu090wNta40Q==" saltValue="rIFp94m1HLVv026tJTBeMQ==" spinCount="100000" sheet="1" objects="1" scenarios="1"/>
  <mergeCells count="48">
    <mergeCell ref="I8:L8"/>
    <mergeCell ref="I9:L9"/>
    <mergeCell ref="A45:L45"/>
    <mergeCell ref="A46:L46"/>
    <mergeCell ref="A47:L47"/>
    <mergeCell ref="C8:E8"/>
    <mergeCell ref="C9:E9"/>
    <mergeCell ref="C10:E10"/>
    <mergeCell ref="I14:J14"/>
    <mergeCell ref="I15:K15"/>
    <mergeCell ref="F30:K30"/>
    <mergeCell ref="A20:A21"/>
    <mergeCell ref="B36:C36"/>
    <mergeCell ref="B20:B21"/>
    <mergeCell ref="C26:D26"/>
    <mergeCell ref="E20:F21"/>
    <mergeCell ref="C5:F5"/>
    <mergeCell ref="C6:F6"/>
    <mergeCell ref="C7:E7"/>
    <mergeCell ref="I5:L5"/>
    <mergeCell ref="I6:L6"/>
    <mergeCell ref="I7:L7"/>
    <mergeCell ref="C20:D21"/>
    <mergeCell ref="C22:D22"/>
    <mergeCell ref="C23:D23"/>
    <mergeCell ref="C24:D24"/>
    <mergeCell ref="C25:D25"/>
    <mergeCell ref="E24:F24"/>
    <mergeCell ref="E25:F25"/>
    <mergeCell ref="E26:F26"/>
    <mergeCell ref="M28:W28"/>
    <mergeCell ref="I16:J16"/>
    <mergeCell ref="E22:F22"/>
    <mergeCell ref="M13:W13"/>
    <mergeCell ref="M16:W16"/>
    <mergeCell ref="M15:W15"/>
    <mergeCell ref="M22:W23"/>
    <mergeCell ref="E23:F23"/>
    <mergeCell ref="C38:E38"/>
    <mergeCell ref="M39:N39"/>
    <mergeCell ref="M40:N40"/>
    <mergeCell ref="G31:G32"/>
    <mergeCell ref="H31:H32"/>
    <mergeCell ref="M37:N38"/>
    <mergeCell ref="M30:W31"/>
    <mergeCell ref="H36:I36"/>
    <mergeCell ref="F31:F32"/>
    <mergeCell ref="I31:K32"/>
  </mergeCells>
  <dataValidations xWindow="616" yWindow="800" count="9">
    <dataValidation type="list" errorStyle="information" allowBlank="1" showInputMessage="1" showErrorMessage="1" errorTitle="Placement" error="Online = All the flow is directed to the unit._x000a__x000a_Offline = A diversion box directs some of the flow to the unit and peak flows are bypassed." sqref="C39" xr:uid="{00000000-0002-0000-0100-000000000000}">
      <formula1>"Online,Offline"</formula1>
    </dataValidation>
    <dataValidation type="list" allowBlank="1" showInputMessage="1" showErrorMessage="1" errorTitle="Installation" error="New = Considered by local regulation to be a new development._x000a__x000a_Redevelopment = Considered to be a redevelopment by local regulation._x000a__x000a_Retrofit = Existing line requiring treatment." sqref="C38" xr:uid="{00000000-0002-0000-0100-000001000000}">
      <formula1>"New Development, Redevelopment, Retrofit"</formula1>
    </dataValidation>
    <dataValidation type="list" allowBlank="1" showInputMessage="1" showErrorMessage="1" sqref="B36" xr:uid="{00000000-0002-0000-0100-000002000000}">
      <formula1>ProductList</formula1>
    </dataValidation>
    <dataValidation allowBlank="1" showInputMessage="1" showErrorMessage="1" promptTitle="Peak Flow" prompt="If red the peak flow exceeds the allowable flow for the selected unit, storm probabilty and installation arrangement. Refer to User Manual for a solution. " sqref="I38:I40 D42 D16:D17 E16:E19 D27:E27" xr:uid="{00000000-0002-0000-0100-000003000000}"/>
    <dataValidation type="list" allowBlank="1" showInputMessage="1" showErrorMessage="1" sqref="C15" xr:uid="{00000000-0002-0000-0100-000004000000}">
      <formula1>PSD</formula1>
    </dataValidation>
    <dataValidation type="list" allowBlank="1" showInputMessage="1" showErrorMessage="1" sqref="H12" xr:uid="{00000000-0002-0000-0100-000005000000}">
      <formula1>"US, Metric"</formula1>
    </dataValidation>
    <dataValidation type="whole" allowBlank="1" showInputMessage="1" showErrorMessage="1" errorTitle="Out of Range" error="Removal goal must be between 0 and 100. " sqref="C14" xr:uid="{00000000-0002-0000-0100-000006000000}">
      <formula1>0</formula1>
      <formula2>100</formula2>
    </dataValidation>
    <dataValidation type="list" allowBlank="1" showInputMessage="1" showErrorMessage="1" sqref="I14" xr:uid="{00000000-0002-0000-0100-000007000000}">
      <formula1>"Yes,No"</formula1>
    </dataValidation>
    <dataValidation type="list" errorStyle="information" allowBlank="1" showInputMessage="1" showErrorMessage="1" errorTitle="Mesh Size" error="19mm is the standard mesh size. All other variations are custom builds and may incur additional charges. " sqref="I15" xr:uid="{00000000-0002-0000-0100-000008000000}">
      <formula1>"19mm (0.75"") Std,5mm (0.19"") Fine"</formula1>
    </dataValidation>
  </dataValidations>
  <hyperlinks>
    <hyperlink ref="O6" r:id="rId1" xr:uid="{00000000-0004-0000-0100-000001000000}"/>
    <hyperlink ref="U6" r:id="rId2" xr:uid="{00000000-0004-0000-0100-000002000000}"/>
    <hyperlink ref="P8" r:id="rId3" xr:uid="{00000000-0004-0000-0100-000003000000}"/>
  </hyperlinks>
  <pageMargins left="0.25" right="0.25" top="0.75" bottom="0.75" header="0.3" footer="0.3"/>
  <pageSetup orientation="portrait" r:id="rId4"/>
  <headerFooter differentFirst="1">
    <firstFooter>&amp;LHydro International (Stormwater), 94 Hutchins Drive, Portland ME 04102
Tel: (207) 756-6200 Fax: (207) 756-6212 Web: www.hydro-int.com&amp;R&amp;D</firstFooter>
  </headerFooter>
  <drawing r:id="rId5"/>
  <extLst>
    <ext xmlns:x14="http://schemas.microsoft.com/office/spreadsheetml/2009/9/main" uri="{CCE6A557-97BC-4b89-ADB6-D9C93CAAB3DF}">
      <x14:dataValidations xmlns:xm="http://schemas.microsoft.com/office/excel/2006/main" xWindow="616" yWindow="800" count="5">
        <x14:dataValidation type="custom" errorStyle="information" allowBlank="1" showInputMessage="1" showErrorMessage="1" errorTitle="Insufficent Cover" error="More cover required to meet min. cover requirement. " xr:uid="{00000000-0002-0000-0100-000009000000}">
          <x14:formula1>
            <xm:f>WQFCalc!L62&gt;=WQFCalc!K62</xm:f>
          </x14:formula1>
          <xm:sqref>H38</xm:sqref>
        </x14:dataValidation>
        <x14:dataValidation type="custom" errorStyle="information" allowBlank="1" showInputMessage="1" showErrorMessage="1" errorTitle="Insufficient Cover" error="More cover required to meet min. cover requirement. " xr:uid="{00000000-0002-0000-0100-00000A000000}">
          <x14:formula1>
            <xm:f>WQFCalc!L62&gt;=WQFCalc!K62</xm:f>
          </x14:formula1>
          <xm:sqref>H39</xm:sqref>
        </x14:dataValidation>
        <x14:dataValidation type="custom" errorStyle="information" allowBlank="1" showInputMessage="1" showErrorMessage="1" errorTitle="Peak Flow" error="Peak flow exceeds selected unit's capacity. Select a larger unit or reduce the flow to the unit. " xr:uid="{00000000-0002-0000-0100-00000B000000}">
          <x14:formula1>
            <xm:f>C42&lt;=WQFCalc!U54</xm:f>
          </x14:formula1>
          <xm:sqref>C42</xm:sqref>
        </x14:dataValidation>
        <x14:dataValidation type="whole" errorStyle="information" operator="lessThanOrEqual" allowBlank="1" showErrorMessage="1" errorTitle="Pipe Size" error="Pipe too large, reduce pipe size. " promptTitle="Pipe Size" prompt="Pipe too large. Usea smaller pipe." xr:uid="{00000000-0002-0000-0100-00000C000000}">
          <x14:formula1>
            <xm:f>WQFCalc!D62</xm:f>
          </x14:formula1>
          <xm:sqref>C40</xm:sqref>
        </x14:dataValidation>
        <x14:dataValidation type="whole" errorStyle="information" operator="lessThanOrEqual" allowBlank="1" showInputMessage="1" showErrorMessage="1" errorTitle="Pipe Size" error="Pipe too large, reduce pipe size." xr:uid="{00000000-0002-0000-0100-00000D000000}">
          <x14:formula1>
            <xm:f>WQFCalc!D63</xm:f>
          </x14:formula1>
          <xm:sqref>C41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7"/>
  <sheetViews>
    <sheetView workbookViewId="0"/>
  </sheetViews>
  <sheetFormatPr defaultRowHeight="15"/>
  <sheetData>
    <row r="2" spans="1:2">
      <c r="A2">
        <v>1</v>
      </c>
      <c r="B2" t="s">
        <v>223</v>
      </c>
    </row>
    <row r="3" spans="1:2">
      <c r="A3">
        <v>2</v>
      </c>
      <c r="B3" t="s">
        <v>219</v>
      </c>
    </row>
    <row r="4" spans="1:2">
      <c r="A4">
        <v>3</v>
      </c>
      <c r="B4" t="s">
        <v>220</v>
      </c>
    </row>
    <row r="5" spans="1:2">
      <c r="A5">
        <v>4</v>
      </c>
      <c r="B5" t="s">
        <v>221</v>
      </c>
    </row>
    <row r="6" spans="1:2">
      <c r="A6">
        <v>5</v>
      </c>
      <c r="B6" t="s">
        <v>222</v>
      </c>
    </row>
    <row r="7" spans="1:2">
      <c r="A7">
        <v>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X115"/>
  <sheetViews>
    <sheetView workbookViewId="0">
      <selection activeCell="K30" sqref="K30"/>
    </sheetView>
  </sheetViews>
  <sheetFormatPr defaultRowHeight="15"/>
  <cols>
    <col min="1" max="1" width="16" customWidth="1"/>
    <col min="2" max="2" width="11.7109375" style="9" customWidth="1"/>
    <col min="3" max="3" width="11.42578125" customWidth="1"/>
    <col min="4" max="4" width="11.7109375" customWidth="1"/>
    <col min="5" max="5" width="14.42578125" style="35" customWidth="1"/>
    <col min="6" max="6" width="13.5703125" style="35" customWidth="1"/>
    <col min="7" max="7" width="15.5703125" style="4" customWidth="1"/>
    <col min="9" max="9" width="10.7109375" customWidth="1"/>
    <col min="10" max="10" width="10.5703125" customWidth="1"/>
    <col min="11" max="11" width="11.140625" customWidth="1"/>
    <col min="12" max="12" width="15" customWidth="1"/>
    <col min="13" max="13" width="16.140625" customWidth="1"/>
    <col min="14" max="14" width="10.140625" customWidth="1"/>
    <col min="15" max="15" width="10.85546875" customWidth="1"/>
    <col min="16" max="16" width="8" customWidth="1"/>
    <col min="17" max="17" width="12" customWidth="1"/>
    <col min="18" max="18" width="10.5703125" customWidth="1"/>
    <col min="19" max="19" width="12.42578125" customWidth="1"/>
    <col min="20" max="20" width="11" customWidth="1"/>
    <col min="21" max="21" width="11.140625" customWidth="1"/>
    <col min="33" max="33" width="10.85546875" customWidth="1"/>
  </cols>
  <sheetData>
    <row r="1" spans="1:26">
      <c r="P1" s="75"/>
      <c r="Q1" s="13"/>
      <c r="R1" s="13"/>
      <c r="S1" s="13"/>
      <c r="T1" s="13"/>
      <c r="U1" s="13"/>
      <c r="V1" s="13"/>
      <c r="W1" s="13"/>
      <c r="X1" s="13"/>
      <c r="Y1" s="15"/>
    </row>
    <row r="2" spans="1:26">
      <c r="A2" s="103" t="s">
        <v>226</v>
      </c>
      <c r="B2" s="13"/>
      <c r="C2" s="13"/>
      <c r="D2" s="13"/>
      <c r="E2" s="57"/>
      <c r="F2" s="104"/>
      <c r="P2" s="127" t="s">
        <v>237</v>
      </c>
      <c r="Q2" s="22"/>
      <c r="R2" s="22"/>
      <c r="S2" s="22"/>
      <c r="T2" s="22"/>
      <c r="U2" s="22"/>
      <c r="V2" s="22"/>
      <c r="W2" s="22"/>
      <c r="X2" s="22"/>
      <c r="Y2" s="14"/>
    </row>
    <row r="3" spans="1:26">
      <c r="A3" s="78"/>
      <c r="B3" s="22" t="s">
        <v>36</v>
      </c>
      <c r="C3" s="22"/>
      <c r="D3" s="22"/>
      <c r="E3" s="105"/>
      <c r="F3" s="106"/>
      <c r="J3" s="103" t="s">
        <v>277</v>
      </c>
      <c r="K3" s="13"/>
      <c r="L3" s="13"/>
      <c r="M3" s="15"/>
      <c r="P3" s="78"/>
      <c r="Q3" s="22"/>
      <c r="R3" s="22"/>
      <c r="S3" s="22"/>
      <c r="T3" s="22"/>
      <c r="U3" s="22"/>
      <c r="V3" s="22"/>
      <c r="W3" s="22"/>
      <c r="X3" s="22"/>
      <c r="Y3" s="14"/>
    </row>
    <row r="4" spans="1:26">
      <c r="A4" s="78"/>
      <c r="B4" s="22">
        <v>425</v>
      </c>
      <c r="C4" s="22" t="s">
        <v>38</v>
      </c>
      <c r="D4" s="22"/>
      <c r="E4" s="107"/>
      <c r="F4" s="108"/>
      <c r="J4" s="78"/>
      <c r="K4" s="22"/>
      <c r="L4" s="22"/>
      <c r="M4" s="14"/>
      <c r="P4" s="78">
        <v>425</v>
      </c>
      <c r="Q4" s="22" t="s">
        <v>227</v>
      </c>
      <c r="R4" s="22"/>
      <c r="S4" s="22"/>
      <c r="T4" s="22"/>
      <c r="U4" s="22"/>
      <c r="V4" s="22"/>
      <c r="W4" s="22"/>
      <c r="X4" s="22"/>
      <c r="Y4" s="14"/>
    </row>
    <row r="5" spans="1:26">
      <c r="A5" s="78"/>
      <c r="B5" s="22">
        <v>300</v>
      </c>
      <c r="C5" s="22" t="s">
        <v>39</v>
      </c>
      <c r="D5" s="22"/>
      <c r="E5" s="107"/>
      <c r="F5" s="108"/>
      <c r="J5" s="78" t="s">
        <v>17</v>
      </c>
      <c r="K5" s="22"/>
      <c r="L5" s="22" t="s">
        <v>212</v>
      </c>
      <c r="M5" s="14" t="s">
        <v>213</v>
      </c>
      <c r="N5" s="5"/>
      <c r="O5" s="5"/>
      <c r="P5" s="78">
        <v>300</v>
      </c>
      <c r="Q5" s="22" t="s">
        <v>228</v>
      </c>
      <c r="R5" s="88"/>
      <c r="S5" s="22"/>
      <c r="T5" s="22"/>
      <c r="U5" s="22"/>
      <c r="V5" s="22"/>
      <c r="W5" s="22"/>
      <c r="X5" s="22"/>
      <c r="Y5" s="14"/>
    </row>
    <row r="6" spans="1:26">
      <c r="A6" s="78"/>
      <c r="B6" s="22">
        <v>212</v>
      </c>
      <c r="C6" s="22" t="s">
        <v>37</v>
      </c>
      <c r="D6" s="22"/>
      <c r="E6" s="105"/>
      <c r="F6" s="108"/>
      <c r="J6" s="78">
        <v>106</v>
      </c>
      <c r="K6" s="22"/>
      <c r="L6" s="30" t="s">
        <v>171</v>
      </c>
      <c r="M6" s="14" t="s">
        <v>214</v>
      </c>
      <c r="N6" s="2"/>
      <c r="O6" s="2"/>
      <c r="P6" s="78">
        <v>212</v>
      </c>
      <c r="Q6" s="22" t="s">
        <v>229</v>
      </c>
      <c r="R6" s="89"/>
      <c r="S6" s="22"/>
      <c r="T6" s="22"/>
      <c r="U6" s="22"/>
      <c r="V6" s="22"/>
      <c r="W6" s="22"/>
      <c r="X6" s="22"/>
      <c r="Y6" s="14"/>
    </row>
    <row r="7" spans="1:26">
      <c r="A7" s="78"/>
      <c r="B7" s="22">
        <v>150</v>
      </c>
      <c r="C7" s="22" t="s">
        <v>40</v>
      </c>
      <c r="D7" s="22"/>
      <c r="E7" s="105"/>
      <c r="F7" s="108"/>
      <c r="J7" s="78">
        <v>150</v>
      </c>
      <c r="K7" s="22"/>
      <c r="L7" s="30" t="s">
        <v>172</v>
      </c>
      <c r="M7" s="14" t="s">
        <v>215</v>
      </c>
      <c r="N7" s="2"/>
      <c r="O7" s="2"/>
      <c r="P7" s="78">
        <v>150</v>
      </c>
      <c r="Q7" s="22" t="s">
        <v>230</v>
      </c>
      <c r="R7" s="89"/>
      <c r="S7" s="22"/>
      <c r="T7" s="22"/>
      <c r="U7" s="22"/>
      <c r="V7" s="22"/>
      <c r="W7" s="22"/>
      <c r="X7" s="22"/>
      <c r="Y7" s="14"/>
    </row>
    <row r="8" spans="1:26">
      <c r="A8" s="78"/>
      <c r="B8" s="22">
        <v>106</v>
      </c>
      <c r="C8" s="22" t="s">
        <v>41</v>
      </c>
      <c r="D8" s="22"/>
      <c r="E8" s="105"/>
      <c r="F8" s="108"/>
      <c r="J8" s="78">
        <v>212</v>
      </c>
      <c r="K8" s="22"/>
      <c r="L8" s="30" t="s">
        <v>173</v>
      </c>
      <c r="M8" s="14" t="s">
        <v>216</v>
      </c>
      <c r="N8" s="2"/>
      <c r="O8" s="2"/>
      <c r="P8" s="78">
        <v>106</v>
      </c>
      <c r="Q8" s="22" t="s">
        <v>231</v>
      </c>
      <c r="R8" s="89"/>
      <c r="S8" s="22"/>
      <c r="T8" s="22"/>
      <c r="U8" s="22"/>
      <c r="V8" s="22"/>
      <c r="W8" s="22"/>
      <c r="X8" s="22"/>
      <c r="Y8" s="14"/>
    </row>
    <row r="9" spans="1:26">
      <c r="A9" s="78"/>
      <c r="B9" s="22" t="s">
        <v>28</v>
      </c>
      <c r="C9" s="22"/>
      <c r="D9" s="22"/>
      <c r="E9" s="105"/>
      <c r="F9" s="108"/>
      <c r="I9" s="5"/>
      <c r="J9" s="78">
        <v>300</v>
      </c>
      <c r="K9" s="22"/>
      <c r="L9" s="30" t="s">
        <v>174</v>
      </c>
      <c r="M9" s="14" t="s">
        <v>217</v>
      </c>
      <c r="N9" s="20"/>
      <c r="O9" s="2"/>
      <c r="P9" s="90"/>
      <c r="Q9" s="89"/>
      <c r="R9" s="89"/>
      <c r="S9" s="22"/>
      <c r="T9" s="22"/>
      <c r="U9" s="22"/>
      <c r="V9" s="22"/>
      <c r="W9" s="100" t="s">
        <v>274</v>
      </c>
      <c r="X9" s="100"/>
      <c r="Y9" s="102"/>
    </row>
    <row r="10" spans="1:26">
      <c r="A10" s="78"/>
      <c r="B10" s="109" t="s">
        <v>7</v>
      </c>
      <c r="C10" s="109" t="s">
        <v>45</v>
      </c>
      <c r="D10" s="109" t="s">
        <v>44</v>
      </c>
      <c r="E10" s="110" t="s">
        <v>43</v>
      </c>
      <c r="F10" s="111" t="s">
        <v>42</v>
      </c>
      <c r="J10" s="78">
        <v>425</v>
      </c>
      <c r="K10" s="22"/>
      <c r="L10" s="30" t="s">
        <v>175</v>
      </c>
      <c r="M10" s="14" t="s">
        <v>218</v>
      </c>
      <c r="N10" s="21"/>
      <c r="O10" s="2"/>
      <c r="P10" s="91" t="s">
        <v>232</v>
      </c>
      <c r="Q10" s="80">
        <f>Project!$C$14/100</f>
        <v>0.8</v>
      </c>
      <c r="R10" s="92"/>
      <c r="S10" s="22"/>
      <c r="T10" s="22"/>
      <c r="U10" s="22"/>
      <c r="V10" s="22"/>
      <c r="W10" s="100" t="s">
        <v>272</v>
      </c>
      <c r="X10" s="100" t="s">
        <v>273</v>
      </c>
      <c r="Y10" s="15"/>
    </row>
    <row r="11" spans="1:26">
      <c r="A11" s="78"/>
      <c r="B11" s="109" t="s">
        <v>34</v>
      </c>
      <c r="C11" s="22">
        <v>4</v>
      </c>
      <c r="D11" s="22">
        <v>8</v>
      </c>
      <c r="E11" s="81">
        <f t="shared" ref="E11:E16" si="0">C11*D11</f>
        <v>32</v>
      </c>
      <c r="F11" s="112">
        <f t="shared" ref="F11:F16" si="1">$C$20/E11</f>
        <v>140.3125</v>
      </c>
      <c r="J11" s="94" t="s">
        <v>152</v>
      </c>
      <c r="K11" s="16"/>
      <c r="L11" s="62" t="str">
        <f>CONCATENATE("HDS",C16,"X",D16)</f>
        <v>HDS5X15</v>
      </c>
      <c r="M11" s="19" t="s">
        <v>178</v>
      </c>
      <c r="P11" s="78" t="s">
        <v>232</v>
      </c>
      <c r="Q11" s="97" t="s">
        <v>250</v>
      </c>
      <c r="R11" s="22"/>
      <c r="S11" s="22"/>
      <c r="T11" s="22" t="s">
        <v>146</v>
      </c>
      <c r="U11" s="22"/>
      <c r="V11" s="22"/>
      <c r="W11" s="101">
        <f>Project!C30</f>
        <v>5</v>
      </c>
      <c r="X11" s="101">
        <f>Project!C31</f>
        <v>15</v>
      </c>
      <c r="Y11" s="14"/>
    </row>
    <row r="12" spans="1:26">
      <c r="A12" s="78"/>
      <c r="B12" s="109" t="s">
        <v>29</v>
      </c>
      <c r="C12" s="22">
        <v>6</v>
      </c>
      <c r="D12" s="22">
        <v>12</v>
      </c>
      <c r="E12" s="81">
        <f t="shared" si="0"/>
        <v>72</v>
      </c>
      <c r="F12" s="112">
        <f t="shared" si="1"/>
        <v>62.361111111111114</v>
      </c>
      <c r="P12" s="78">
        <v>106</v>
      </c>
      <c r="Q12" s="87">
        <f>(-0.0046*$C$20)/($Q$10-1.0168)</f>
        <v>95.26752767527681</v>
      </c>
      <c r="R12" s="22"/>
      <c r="S12" s="79" t="s">
        <v>233</v>
      </c>
      <c r="T12" s="87">
        <f>Q12/$W$11</f>
        <v>19.053505535055361</v>
      </c>
      <c r="U12" s="22"/>
      <c r="V12" s="22"/>
      <c r="W12" s="78" t="s">
        <v>276</v>
      </c>
      <c r="X12" s="22"/>
      <c r="Y12" s="14"/>
      <c r="Z12" t="s">
        <v>278</v>
      </c>
    </row>
    <row r="13" spans="1:26">
      <c r="A13" s="78"/>
      <c r="B13" s="109" t="s">
        <v>30</v>
      </c>
      <c r="C13" s="22">
        <v>8</v>
      </c>
      <c r="D13" s="22">
        <v>14</v>
      </c>
      <c r="E13" s="81">
        <f t="shared" si="0"/>
        <v>112</v>
      </c>
      <c r="F13" s="112">
        <f t="shared" si="1"/>
        <v>40.089285714285715</v>
      </c>
      <c r="J13" s="22"/>
      <c r="K13" s="22"/>
      <c r="L13" s="22"/>
      <c r="N13" s="5"/>
      <c r="O13" s="5"/>
      <c r="P13" s="78">
        <v>150</v>
      </c>
      <c r="Q13" s="87">
        <f>(-0.0046*$C$20)/($Q$10-1.0437)</f>
        <v>84.751743947476399</v>
      </c>
      <c r="R13" s="22"/>
      <c r="S13" s="79" t="s">
        <v>233</v>
      </c>
      <c r="T13" s="87">
        <f t="shared" ref="T13:T15" si="2">Q13/$W$11</f>
        <v>16.95034878949528</v>
      </c>
      <c r="U13" s="22"/>
      <c r="V13" s="22"/>
      <c r="W13" s="86">
        <f>IF(Project!H12="US",LOOKUP(F19,P12:P17,T12:T17),LOOKUP(F19,WQFCalc!P20:P25,WQFCalc!T20:T25))</f>
        <v>4.9600803414511692</v>
      </c>
      <c r="X13" s="16" t="str">
        <f>IF(Project!H12="US","ft","m")</f>
        <v>ft</v>
      </c>
      <c r="Y13" s="19"/>
      <c r="Z13" t="str">
        <f>(ROUND(W13,2))&amp;" "&amp;X13</f>
        <v>4.96 ft</v>
      </c>
    </row>
    <row r="14" spans="1:26">
      <c r="A14" s="78"/>
      <c r="B14" s="109" t="s">
        <v>31</v>
      </c>
      <c r="C14" s="22">
        <v>10</v>
      </c>
      <c r="D14" s="22">
        <v>16</v>
      </c>
      <c r="E14" s="81">
        <f t="shared" si="0"/>
        <v>160</v>
      </c>
      <c r="F14" s="112">
        <f t="shared" si="1"/>
        <v>28.0625</v>
      </c>
      <c r="J14" s="22"/>
      <c r="K14" s="22"/>
      <c r="L14" s="22"/>
      <c r="N14" s="2"/>
      <c r="O14" s="2"/>
      <c r="P14" s="78">
        <v>212</v>
      </c>
      <c r="Q14" s="87">
        <f>(-0.0044*$C$20)/($Q$10-1.0966)</f>
        <v>66.608226567768043</v>
      </c>
      <c r="R14" s="22"/>
      <c r="S14" s="79" t="s">
        <v>233</v>
      </c>
      <c r="T14" s="87">
        <f t="shared" si="2"/>
        <v>13.321645313553608</v>
      </c>
      <c r="U14" s="22"/>
      <c r="V14" s="22"/>
      <c r="W14" s="22"/>
      <c r="X14" s="22"/>
      <c r="Y14" s="14"/>
    </row>
    <row r="15" spans="1:26">
      <c r="A15" s="78"/>
      <c r="B15" s="109" t="s">
        <v>170</v>
      </c>
      <c r="C15" s="22">
        <v>12</v>
      </c>
      <c r="D15" s="22">
        <v>20</v>
      </c>
      <c r="E15" s="81">
        <f t="shared" si="0"/>
        <v>240</v>
      </c>
      <c r="F15" s="112">
        <f t="shared" si="1"/>
        <v>18.708333333333332</v>
      </c>
      <c r="J15" s="22"/>
      <c r="K15" s="22"/>
      <c r="L15" s="22"/>
      <c r="N15" s="2"/>
      <c r="O15" s="2"/>
      <c r="P15" s="78">
        <v>300</v>
      </c>
      <c r="Q15" s="87">
        <f>(-0.0038*$C$20)/($Q$10-1.1803)</f>
        <v>44.8645805942677</v>
      </c>
      <c r="R15" s="22"/>
      <c r="S15" s="79" t="s">
        <v>233</v>
      </c>
      <c r="T15" s="87">
        <f t="shared" si="2"/>
        <v>8.97291611885354</v>
      </c>
      <c r="U15" s="22"/>
      <c r="V15" s="22"/>
      <c r="W15" s="22"/>
      <c r="X15" s="22"/>
      <c r="Y15" s="14"/>
    </row>
    <row r="16" spans="1:26">
      <c r="A16" s="83"/>
      <c r="B16" s="113" t="s">
        <v>178</v>
      </c>
      <c r="C16" s="116">
        <f>ROUND(IF(Project!$H$12="US",Project!C30,Project!C30/0.3048),2)</f>
        <v>5</v>
      </c>
      <c r="D16" s="116">
        <f>ROUND(IF(Project!$H$12="US",Project!C31,Project!C31/0.3048),2)</f>
        <v>15</v>
      </c>
      <c r="E16" s="114">
        <f t="shared" si="0"/>
        <v>75</v>
      </c>
      <c r="F16" s="115">
        <f t="shared" si="1"/>
        <v>59.866666666666667</v>
      </c>
      <c r="N16" s="2"/>
      <c r="O16" s="2"/>
      <c r="P16" s="78">
        <v>425</v>
      </c>
      <c r="Q16" s="87">
        <f>(-0.0022*$C$20)/($Q$10-1.1983)</f>
        <v>24.800401707255844</v>
      </c>
      <c r="R16" s="22"/>
      <c r="S16" s="79" t="s">
        <v>233</v>
      </c>
      <c r="T16" s="87">
        <f>Q16/$W$11</f>
        <v>4.9600803414511692</v>
      </c>
      <c r="U16" s="22"/>
      <c r="V16" s="22"/>
      <c r="W16" s="22"/>
      <c r="X16" s="22"/>
      <c r="Y16" s="14"/>
    </row>
    <row r="17" spans="1:26">
      <c r="D17" s="4"/>
      <c r="F17" s="36"/>
      <c r="H17" s="4"/>
      <c r="N17" s="2"/>
      <c r="O17" s="2"/>
      <c r="P17" s="78" t="s">
        <v>152</v>
      </c>
      <c r="Q17" s="87">
        <f>C20/150</f>
        <v>29.933333333333334</v>
      </c>
      <c r="R17" s="22"/>
      <c r="S17" s="79" t="s">
        <v>233</v>
      </c>
      <c r="T17" s="87">
        <f>Q17/$W$11</f>
        <v>5.9866666666666664</v>
      </c>
      <c r="U17" s="22"/>
      <c r="V17" s="22"/>
      <c r="W17" s="22"/>
      <c r="X17" s="22"/>
      <c r="Y17" s="14"/>
    </row>
    <row r="18" spans="1:26">
      <c r="A18" s="103" t="s">
        <v>236</v>
      </c>
      <c r="B18" s="13"/>
      <c r="C18" s="116">
        <f>Project!C16</f>
        <v>10</v>
      </c>
      <c r="D18" s="13"/>
      <c r="E18" s="76"/>
      <c r="F18" s="77"/>
      <c r="I18" s="6"/>
      <c r="N18" s="2"/>
      <c r="O18" s="2"/>
      <c r="P18" s="90" t="s">
        <v>234</v>
      </c>
      <c r="Q18" s="89"/>
      <c r="R18" s="89"/>
      <c r="S18" s="79"/>
      <c r="T18" s="22"/>
      <c r="U18" s="22"/>
      <c r="V18" s="22"/>
      <c r="W18" s="22"/>
      <c r="X18" s="22"/>
      <c r="Y18" s="14"/>
    </row>
    <row r="19" spans="1:26">
      <c r="A19" s="78"/>
      <c r="B19" s="79" t="s">
        <v>67</v>
      </c>
      <c r="C19" s="87">
        <f>IF(Project!H12="US",Project!C16,Project!C16/28.32)</f>
        <v>10</v>
      </c>
      <c r="D19" s="22" t="s">
        <v>3</v>
      </c>
      <c r="E19" s="81" t="s">
        <v>232</v>
      </c>
      <c r="F19" s="82">
        <f>Project!$C$15</f>
        <v>425</v>
      </c>
      <c r="K19" s="3"/>
      <c r="L19" s="3"/>
      <c r="M19" s="3"/>
      <c r="N19" s="3"/>
      <c r="P19" s="91" t="s">
        <v>232</v>
      </c>
      <c r="Q19" s="22" t="s">
        <v>235</v>
      </c>
      <c r="R19" s="89"/>
      <c r="S19" s="79"/>
      <c r="T19" s="87" t="s">
        <v>153</v>
      </c>
      <c r="U19" s="22"/>
      <c r="V19" s="22"/>
      <c r="W19" s="22"/>
      <c r="X19" s="22"/>
      <c r="Y19" s="14"/>
    </row>
    <row r="20" spans="1:26">
      <c r="A20" s="83"/>
      <c r="B20" s="16"/>
      <c r="C20" s="16">
        <f>C19*449</f>
        <v>4490</v>
      </c>
      <c r="D20" s="16" t="s">
        <v>33</v>
      </c>
      <c r="E20" s="84"/>
      <c r="F20" s="85"/>
      <c r="K20" s="3"/>
      <c r="L20" s="3"/>
      <c r="M20" s="3"/>
      <c r="N20" s="3"/>
      <c r="P20" s="78">
        <v>106</v>
      </c>
      <c r="Q20" s="93">
        <f t="shared" ref="Q20:Q25" si="3">CONVERT(Q12,"ft^2","m^2")</f>
        <v>8.8506429343173476</v>
      </c>
      <c r="R20" s="22"/>
      <c r="S20" s="79" t="s">
        <v>233</v>
      </c>
      <c r="T20" s="87">
        <f>Q20/$W$11</f>
        <v>1.7701285868634695</v>
      </c>
      <c r="U20" s="22"/>
      <c r="V20" s="22"/>
      <c r="W20" s="22"/>
      <c r="X20" s="22"/>
      <c r="Y20" s="14"/>
    </row>
    <row r="21" spans="1:26">
      <c r="D21" s="9"/>
      <c r="E21" s="37"/>
      <c r="F21" s="36"/>
      <c r="K21" s="3"/>
      <c r="L21" s="3"/>
      <c r="M21" s="3"/>
      <c r="N21" s="3"/>
      <c r="P21" s="78">
        <v>150</v>
      </c>
      <c r="Q21" s="93">
        <f t="shared" si="3"/>
        <v>7.8736946580221581</v>
      </c>
      <c r="R21" s="22"/>
      <c r="S21" s="79" t="s">
        <v>233</v>
      </c>
      <c r="T21" s="87">
        <f t="shared" ref="T21:T25" si="4">Q21/$W$11</f>
        <v>1.5747389316044316</v>
      </c>
      <c r="U21" s="22"/>
      <c r="V21" s="22"/>
      <c r="W21" s="22"/>
      <c r="X21" s="22"/>
      <c r="Y21" s="14"/>
    </row>
    <row r="22" spans="1:26">
      <c r="A22" s="103" t="s">
        <v>73</v>
      </c>
      <c r="B22" s="13"/>
      <c r="C22" s="13"/>
      <c r="D22" s="13"/>
      <c r="E22" s="76"/>
      <c r="F22" s="117"/>
      <c r="G22" s="13"/>
      <c r="H22" s="13"/>
      <c r="I22" s="13"/>
      <c r="J22" s="13"/>
      <c r="K22" s="15"/>
      <c r="P22" s="78">
        <v>212</v>
      </c>
      <c r="Q22" s="93">
        <f t="shared" si="3"/>
        <v>6.1881067371544169</v>
      </c>
      <c r="R22" s="22"/>
      <c r="S22" s="79" t="s">
        <v>233</v>
      </c>
      <c r="T22" s="87">
        <f t="shared" si="4"/>
        <v>1.2376213474308835</v>
      </c>
      <c r="U22" s="22"/>
      <c r="V22" s="22"/>
      <c r="W22" s="22"/>
      <c r="X22" s="22"/>
      <c r="Y22" s="14"/>
    </row>
    <row r="23" spans="1:26" s="32" customFormat="1">
      <c r="A23" s="78" t="s">
        <v>32</v>
      </c>
      <c r="B23" s="22"/>
      <c r="C23" s="109">
        <v>106</v>
      </c>
      <c r="D23" s="109">
        <v>150</v>
      </c>
      <c r="E23" s="118">
        <v>212</v>
      </c>
      <c r="F23" s="110">
        <v>300</v>
      </c>
      <c r="G23" s="110">
        <v>425</v>
      </c>
      <c r="H23" s="110" t="s">
        <v>152</v>
      </c>
      <c r="I23" s="22"/>
      <c r="J23" s="22"/>
      <c r="K23" s="14"/>
      <c r="P23" s="78">
        <v>300</v>
      </c>
      <c r="Q23" s="93">
        <f t="shared" si="3"/>
        <v>4.1680559255324763</v>
      </c>
      <c r="R23" s="22"/>
      <c r="S23" s="79" t="s">
        <v>233</v>
      </c>
      <c r="T23" s="87">
        <f t="shared" si="4"/>
        <v>0.83361118510649523</v>
      </c>
      <c r="U23" s="22"/>
      <c r="V23" s="22"/>
      <c r="W23" s="22"/>
      <c r="X23" s="22"/>
      <c r="Y23" s="14"/>
    </row>
    <row r="24" spans="1:26">
      <c r="A24" s="119">
        <f t="shared" ref="A24:A29" si="5">F11</f>
        <v>140.3125</v>
      </c>
      <c r="B24" s="109" t="s">
        <v>171</v>
      </c>
      <c r="C24" s="120">
        <f t="shared" ref="C24:C28" si="6">-0.0046*$A24+1.0168</f>
        <v>0.37136249999999993</v>
      </c>
      <c r="D24" s="120">
        <f t="shared" ref="D24:D29" si="7">-0.0046*$A24+1.0437</f>
        <v>0.39826250000000007</v>
      </c>
      <c r="E24" s="120">
        <f t="shared" ref="E24:E29" si="8">-0.0044*$A24+1.0966</f>
        <v>0.47922500000000001</v>
      </c>
      <c r="F24" s="120">
        <f t="shared" ref="F24:F29" si="9">-0.0038*$A24+1.1803</f>
        <v>0.64711249999999987</v>
      </c>
      <c r="G24" s="120">
        <f t="shared" ref="G24:G29" si="10">-0.0022*$A24+1.1983</f>
        <v>0.88961249999999992</v>
      </c>
      <c r="H24" s="22" t="s">
        <v>155</v>
      </c>
      <c r="I24" s="22"/>
      <c r="J24" s="121"/>
      <c r="K24" s="122"/>
      <c r="L24" s="34"/>
      <c r="M24" s="34"/>
      <c r="N24" s="34"/>
      <c r="P24" s="78">
        <v>425</v>
      </c>
      <c r="Q24" s="93">
        <f t="shared" si="3"/>
        <v>2.3040327118252577</v>
      </c>
      <c r="R24" s="22"/>
      <c r="S24" s="79" t="s">
        <v>233</v>
      </c>
      <c r="T24" s="87">
        <f t="shared" si="4"/>
        <v>0.46080654236505153</v>
      </c>
      <c r="U24" s="22"/>
      <c r="V24" s="22"/>
      <c r="W24" s="22"/>
      <c r="X24" s="22"/>
      <c r="Y24" s="14"/>
    </row>
    <row r="25" spans="1:26">
      <c r="A25" s="119">
        <f t="shared" si="5"/>
        <v>62.361111111111114</v>
      </c>
      <c r="B25" s="109" t="s">
        <v>255</v>
      </c>
      <c r="C25" s="120">
        <f t="shared" si="6"/>
        <v>0.7299388888888888</v>
      </c>
      <c r="D25" s="120">
        <f t="shared" si="7"/>
        <v>0.75683888888888895</v>
      </c>
      <c r="E25" s="120">
        <f t="shared" si="8"/>
        <v>0.82221111111111111</v>
      </c>
      <c r="F25" s="120">
        <f t="shared" si="9"/>
        <v>0.94332777777777765</v>
      </c>
      <c r="G25" s="120">
        <f t="shared" si="10"/>
        <v>1.0611055555555555</v>
      </c>
      <c r="H25" s="22" t="s">
        <v>155</v>
      </c>
      <c r="I25" s="22"/>
      <c r="J25" s="123"/>
      <c r="K25" s="14"/>
      <c r="P25" s="83" t="s">
        <v>152</v>
      </c>
      <c r="Q25" s="98">
        <f t="shared" si="3"/>
        <v>2.7808976639999998</v>
      </c>
      <c r="R25" s="16"/>
      <c r="S25" s="96" t="s">
        <v>233</v>
      </c>
      <c r="T25" s="99">
        <f t="shared" si="4"/>
        <v>0.55617953279999999</v>
      </c>
      <c r="U25" s="16"/>
      <c r="V25" s="16"/>
      <c r="W25" s="16"/>
      <c r="X25" s="16"/>
      <c r="Y25" s="19"/>
      <c r="Z25" s="53"/>
    </row>
    <row r="26" spans="1:26">
      <c r="A26" s="119">
        <f t="shared" si="5"/>
        <v>40.089285714285715</v>
      </c>
      <c r="B26" s="109" t="s">
        <v>173</v>
      </c>
      <c r="C26" s="120">
        <f t="shared" si="6"/>
        <v>0.83238928571428561</v>
      </c>
      <c r="D26" s="120">
        <f t="shared" si="7"/>
        <v>0.85928928571428576</v>
      </c>
      <c r="E26" s="120">
        <f t="shared" si="8"/>
        <v>0.92020714285714289</v>
      </c>
      <c r="F26" s="120">
        <f t="shared" si="9"/>
        <v>1.0279607142857141</v>
      </c>
      <c r="G26" s="120">
        <f t="shared" si="10"/>
        <v>1.1101035714285714</v>
      </c>
      <c r="H26" s="22" t="s">
        <v>155</v>
      </c>
      <c r="I26" s="22"/>
      <c r="J26" s="123"/>
      <c r="K26" s="14"/>
      <c r="U26" s="53"/>
      <c r="V26" s="53"/>
      <c r="W26" s="53"/>
      <c r="X26" s="53"/>
      <c r="Y26" s="53"/>
      <c r="Z26" s="53"/>
    </row>
    <row r="27" spans="1:26">
      <c r="A27" s="119">
        <f t="shared" si="5"/>
        <v>28.0625</v>
      </c>
      <c r="B27" s="109" t="s">
        <v>174</v>
      </c>
      <c r="C27" s="120">
        <f t="shared" si="6"/>
        <v>0.8877124999999999</v>
      </c>
      <c r="D27" s="120">
        <f t="shared" si="7"/>
        <v>0.91461250000000005</v>
      </c>
      <c r="E27" s="120">
        <f t="shared" si="8"/>
        <v>0.97312500000000002</v>
      </c>
      <c r="F27" s="120">
        <f t="shared" si="9"/>
        <v>1.0736625</v>
      </c>
      <c r="G27" s="120">
        <f t="shared" si="10"/>
        <v>1.1365624999999999</v>
      </c>
      <c r="H27" s="22" t="s">
        <v>155</v>
      </c>
      <c r="I27" s="22"/>
      <c r="J27" s="22"/>
      <c r="K27" s="14"/>
      <c r="P27" t="s">
        <v>240</v>
      </c>
    </row>
    <row r="28" spans="1:26">
      <c r="A28" s="119">
        <f t="shared" si="5"/>
        <v>18.708333333333332</v>
      </c>
      <c r="B28" s="109" t="s">
        <v>175</v>
      </c>
      <c r="C28" s="120">
        <f t="shared" si="6"/>
        <v>0.93074166666666658</v>
      </c>
      <c r="D28" s="120">
        <f t="shared" si="7"/>
        <v>0.95764166666666672</v>
      </c>
      <c r="E28" s="120">
        <f t="shared" si="8"/>
        <v>1.0142833333333334</v>
      </c>
      <c r="F28" s="120">
        <f t="shared" si="9"/>
        <v>1.1092083333333331</v>
      </c>
      <c r="G28" s="120">
        <f t="shared" si="10"/>
        <v>1.1571416666666665</v>
      </c>
      <c r="H28" s="22" t="s">
        <v>155</v>
      </c>
      <c r="I28" s="22"/>
      <c r="J28" s="22" t="s">
        <v>251</v>
      </c>
      <c r="K28" s="14"/>
      <c r="P28" s="95" t="s">
        <v>241</v>
      </c>
      <c r="Q28">
        <v>12</v>
      </c>
      <c r="R28" t="s">
        <v>146</v>
      </c>
      <c r="T28" s="75" t="s">
        <v>243</v>
      </c>
      <c r="U28" s="13"/>
      <c r="V28" s="13"/>
      <c r="W28" s="13"/>
      <c r="X28" s="13"/>
      <c r="Y28" s="13"/>
      <c r="Z28" s="15"/>
    </row>
    <row r="29" spans="1:26" s="53" customFormat="1">
      <c r="A29" s="86">
        <f t="shared" si="5"/>
        <v>59.866666666666667</v>
      </c>
      <c r="B29" s="113" t="str">
        <f>A42</f>
        <v>HDS5X15</v>
      </c>
      <c r="C29" s="124">
        <f>-0.0046*$A29+1.0168</f>
        <v>0.74141333333333326</v>
      </c>
      <c r="D29" s="124">
        <f t="shared" si="7"/>
        <v>0.7683133333333334</v>
      </c>
      <c r="E29" s="124">
        <f t="shared" si="8"/>
        <v>0.83318666666666674</v>
      </c>
      <c r="F29" s="124">
        <f t="shared" si="9"/>
        <v>0.95280666666666658</v>
      </c>
      <c r="G29" s="124">
        <f t="shared" si="10"/>
        <v>1.0665933333333333</v>
      </c>
      <c r="H29" s="16" t="s">
        <v>155</v>
      </c>
      <c r="I29" s="16"/>
      <c r="J29" s="125">
        <f>INDEX(C29:H29,MATCH(Project!C15,WQFCalc!C23:H23))</f>
        <v>1.0665933333333333</v>
      </c>
      <c r="K29" s="126">
        <f>IF(Project!C15="TRASH","N/A",IFERROR(IF(J29&lt;0,0,IF(J29&gt;1,1,J29)),1))</f>
        <v>1</v>
      </c>
      <c r="O29" s="95"/>
      <c r="P29" s="95" t="s">
        <v>242</v>
      </c>
      <c r="Q29">
        <f>IF(Project!$H$12="US",$W$11,$W$11/0.3048)</f>
        <v>5</v>
      </c>
      <c r="R29" t="s">
        <v>146</v>
      </c>
      <c r="S29"/>
      <c r="T29" s="78"/>
      <c r="U29" s="22" t="s">
        <v>300</v>
      </c>
      <c r="V29" s="22"/>
      <c r="W29" s="22"/>
      <c r="X29" s="22"/>
      <c r="Y29" s="22"/>
      <c r="Z29" s="14"/>
    </row>
    <row r="30" spans="1:26" s="53" customFormat="1">
      <c r="A30" s="24"/>
      <c r="B30" s="1"/>
      <c r="C30" s="41"/>
      <c r="D30" s="41"/>
      <c r="E30" s="41"/>
      <c r="F30" s="41"/>
      <c r="G30" s="41"/>
      <c r="P30"/>
      <c r="Q30"/>
      <c r="R30"/>
      <c r="S30"/>
      <c r="T30" s="78"/>
      <c r="U30" s="22" t="s">
        <v>305</v>
      </c>
      <c r="V30" s="22"/>
      <c r="W30" s="22"/>
      <c r="X30" s="22"/>
      <c r="Y30" s="22"/>
      <c r="Z30" s="14"/>
    </row>
    <row r="31" spans="1:26">
      <c r="C31" s="32"/>
      <c r="D31" s="36"/>
      <c r="E31" s="32"/>
      <c r="F31" s="32"/>
      <c r="G31" s="32"/>
      <c r="H31" s="32"/>
      <c r="I31" s="32"/>
      <c r="J31" s="32"/>
      <c r="P31" s="95" t="s">
        <v>304</v>
      </c>
      <c r="Q31" s="53">
        <v>20</v>
      </c>
      <c r="R31" s="53" t="s">
        <v>146</v>
      </c>
      <c r="S31" s="53"/>
      <c r="T31" s="78"/>
      <c r="U31" s="22" t="s">
        <v>279</v>
      </c>
      <c r="V31" s="22"/>
      <c r="W31" s="22"/>
      <c r="X31" s="22"/>
      <c r="Y31" s="22"/>
      <c r="Z31" s="14"/>
    </row>
    <row r="32" spans="1:26">
      <c r="A32" s="32" t="s">
        <v>68</v>
      </c>
      <c r="D32" s="41"/>
      <c r="E32" s="40"/>
      <c r="F32" s="40"/>
      <c r="G32" s="40"/>
      <c r="H32" s="40"/>
      <c r="I32" s="40"/>
      <c r="J32" s="40"/>
      <c r="P32" s="95" t="s">
        <v>242</v>
      </c>
      <c r="Q32" s="24">
        <f>IF(Project!$H$12="US",$X$11,$X$11/0.3048)</f>
        <v>15</v>
      </c>
      <c r="R32" s="53" t="s">
        <v>146</v>
      </c>
      <c r="S32" s="53"/>
      <c r="T32" s="78" t="s">
        <v>244</v>
      </c>
      <c r="U32" s="22"/>
      <c r="V32" s="22"/>
      <c r="W32" s="22"/>
      <c r="X32" s="22"/>
      <c r="Y32" s="22"/>
      <c r="Z32" s="14"/>
    </row>
    <row r="33" spans="1:26">
      <c r="A33" s="1" t="s">
        <v>72</v>
      </c>
      <c r="C33" s="32"/>
      <c r="D33" s="41" t="s">
        <v>69</v>
      </c>
      <c r="E33" s="40" t="s">
        <v>70</v>
      </c>
      <c r="F33" s="40"/>
      <c r="G33" s="40"/>
      <c r="H33" s="40"/>
      <c r="I33" s="40"/>
      <c r="J33" s="40"/>
      <c r="T33" s="78"/>
      <c r="U33" s="22" t="str">
        <f>IF(Q29&gt;12,U29," ")</f>
        <v xml:space="preserve"> </v>
      </c>
      <c r="V33" s="22"/>
      <c r="W33" s="22"/>
      <c r="X33" s="22"/>
      <c r="Y33" s="22"/>
      <c r="Z33" s="14"/>
    </row>
    <row r="34" spans="1:26">
      <c r="A34" t="s">
        <v>46</v>
      </c>
      <c r="B34" s="9">
        <f>IF(Project!C15="Trash",425,Project!C15)</f>
        <v>425</v>
      </c>
      <c r="C34" s="1" t="s">
        <v>171</v>
      </c>
      <c r="D34" s="41">
        <f>ROUND(VLOOKUP($C34,$B$24:$H$29,MATCH($B$34,$B$23:$H$23,0),FALSE),3)</f>
        <v>0.89</v>
      </c>
      <c r="E34" s="48">
        <f t="shared" ref="E34:E39" si="11">IF(D34="N/A","N/A",IF(D34&lt;0,0,IF(D34&gt;1,1,D34)))</f>
        <v>0.89</v>
      </c>
      <c r="F34" s="48" t="s">
        <v>71</v>
      </c>
      <c r="G34" s="40"/>
      <c r="H34" s="40"/>
      <c r="I34" s="40"/>
      <c r="J34" s="40"/>
      <c r="T34" s="78"/>
      <c r="U34" s="22" t="str">
        <f>IF(Q32&gt;20,U30," ")</f>
        <v xml:space="preserve"> </v>
      </c>
      <c r="V34" s="22"/>
      <c r="W34" s="22"/>
      <c r="X34" s="22"/>
      <c r="Y34" s="22"/>
      <c r="Z34" s="14"/>
    </row>
    <row r="35" spans="1:26">
      <c r="C35" s="1" t="s">
        <v>255</v>
      </c>
      <c r="D35" s="41">
        <f t="shared" ref="D35:D39" si="12">ROUND(VLOOKUP($C35,$B$24:$H$29,MATCH($B$34,$B$23:$H$23,0),FALSE),3)</f>
        <v>1.0609999999999999</v>
      </c>
      <c r="E35" s="48">
        <f t="shared" si="11"/>
        <v>1</v>
      </c>
      <c r="F35" s="48" t="s">
        <v>71</v>
      </c>
      <c r="G35" s="40"/>
      <c r="H35" s="40"/>
      <c r="I35" s="40"/>
      <c r="J35" s="40"/>
      <c r="T35" s="83"/>
      <c r="U35" s="16" t="str">
        <f>IF(Q32&lt;Q29,U31," ")</f>
        <v xml:space="preserve"> </v>
      </c>
      <c r="V35" s="16"/>
      <c r="W35" s="16"/>
      <c r="X35" s="16"/>
      <c r="Y35" s="16"/>
      <c r="Z35" s="19"/>
    </row>
    <row r="36" spans="1:26">
      <c r="C36" s="1" t="s">
        <v>173</v>
      </c>
      <c r="D36" s="41">
        <f t="shared" si="12"/>
        <v>1.1100000000000001</v>
      </c>
      <c r="E36" s="48">
        <f t="shared" si="11"/>
        <v>1</v>
      </c>
      <c r="F36" s="48" t="s">
        <v>71</v>
      </c>
    </row>
    <row r="37" spans="1:26">
      <c r="C37" s="1" t="s">
        <v>174</v>
      </c>
      <c r="D37" s="41">
        <f t="shared" si="12"/>
        <v>1.137</v>
      </c>
      <c r="E37" s="48">
        <f t="shared" si="11"/>
        <v>1</v>
      </c>
      <c r="F37" s="48" t="s">
        <v>71</v>
      </c>
    </row>
    <row r="38" spans="1:26">
      <c r="C38" s="1" t="s">
        <v>175</v>
      </c>
      <c r="D38" s="41">
        <f t="shared" si="12"/>
        <v>1.157</v>
      </c>
      <c r="E38" s="48">
        <f t="shared" si="11"/>
        <v>1</v>
      </c>
      <c r="F38" s="48" t="s">
        <v>71</v>
      </c>
    </row>
    <row r="39" spans="1:26">
      <c r="C39" s="1" t="str">
        <f>A42</f>
        <v>HDS5X15</v>
      </c>
      <c r="D39" s="41">
        <f t="shared" si="12"/>
        <v>1.0669999999999999</v>
      </c>
      <c r="E39" s="48">
        <f t="shared" si="11"/>
        <v>1</v>
      </c>
      <c r="F39" s="48" t="s">
        <v>71</v>
      </c>
    </row>
    <row r="40" spans="1:26" s="4" customFormat="1">
      <c r="A40"/>
      <c r="B40" s="9"/>
      <c r="C40"/>
      <c r="D40" s="9"/>
      <c r="E40" s="36"/>
      <c r="F40" s="36"/>
      <c r="H40"/>
      <c r="I40"/>
      <c r="J40"/>
      <c r="P40"/>
      <c r="Q40"/>
      <c r="R40"/>
      <c r="S40"/>
      <c r="T40"/>
      <c r="U40"/>
      <c r="V40"/>
      <c r="W40"/>
      <c r="X40"/>
      <c r="Y40"/>
      <c r="Z40"/>
    </row>
    <row r="41" spans="1:26">
      <c r="A41" s="1" t="s">
        <v>75</v>
      </c>
      <c r="D41" s="9"/>
      <c r="E41" s="36"/>
      <c r="F41" s="36"/>
    </row>
    <row r="42" spans="1:26">
      <c r="A42" t="str">
        <f>Project!B36</f>
        <v>HDS5X15</v>
      </c>
      <c r="D42" s="9"/>
      <c r="E42" s="36"/>
      <c r="F42" s="36"/>
    </row>
    <row r="43" spans="1:26">
      <c r="B43" s="9" t="s">
        <v>76</v>
      </c>
      <c r="V43" t="s">
        <v>35</v>
      </c>
    </row>
    <row r="44" spans="1:26" ht="45">
      <c r="B44" s="45" t="s">
        <v>47</v>
      </c>
      <c r="C44" s="45" t="s">
        <v>48</v>
      </c>
      <c r="D44" s="45" t="s">
        <v>49</v>
      </c>
      <c r="E44" s="45" t="s">
        <v>57</v>
      </c>
      <c r="F44" s="45" t="s">
        <v>58</v>
      </c>
      <c r="G44" s="45" t="s">
        <v>50</v>
      </c>
      <c r="H44" s="45" t="s">
        <v>51</v>
      </c>
      <c r="I44" s="45" t="s">
        <v>59</v>
      </c>
      <c r="J44" s="45" t="s">
        <v>60</v>
      </c>
      <c r="K44" s="45" t="s">
        <v>62</v>
      </c>
      <c r="L44" s="45" t="s">
        <v>114</v>
      </c>
      <c r="M44" s="45" t="s">
        <v>61</v>
      </c>
      <c r="N44" s="45" t="s">
        <v>91</v>
      </c>
      <c r="O44" s="45" t="s">
        <v>92</v>
      </c>
      <c r="P44" s="45" t="s">
        <v>95</v>
      </c>
      <c r="Q44" s="45" t="s">
        <v>96</v>
      </c>
      <c r="R44" s="45" t="s">
        <v>106</v>
      </c>
      <c r="S44" s="45" t="s">
        <v>108</v>
      </c>
      <c r="T44" s="45" t="s">
        <v>110</v>
      </c>
    </row>
    <row r="45" spans="1:26">
      <c r="B45" s="23" t="s">
        <v>52</v>
      </c>
      <c r="C45" s="23" t="s">
        <v>52</v>
      </c>
      <c r="D45" s="23" t="s">
        <v>52</v>
      </c>
      <c r="E45" s="23" t="s">
        <v>52</v>
      </c>
      <c r="F45" s="23" t="s">
        <v>52</v>
      </c>
      <c r="G45" s="23" t="s">
        <v>53</v>
      </c>
      <c r="H45" s="23" t="s">
        <v>54</v>
      </c>
      <c r="I45" s="23" t="s">
        <v>55</v>
      </c>
      <c r="J45" s="23" t="s">
        <v>53</v>
      </c>
      <c r="K45" s="23" t="s">
        <v>2</v>
      </c>
      <c r="L45" s="23" t="s">
        <v>56</v>
      </c>
      <c r="M45" s="23" t="s">
        <v>56</v>
      </c>
      <c r="N45" s="23" t="s">
        <v>55</v>
      </c>
      <c r="O45" s="23" t="s">
        <v>55</v>
      </c>
      <c r="P45" s="23" t="s">
        <v>55</v>
      </c>
      <c r="Q45" s="23" t="s">
        <v>55</v>
      </c>
      <c r="R45" s="23" t="s">
        <v>107</v>
      </c>
      <c r="S45" s="23" t="s">
        <v>54</v>
      </c>
      <c r="T45" s="23" t="s">
        <v>56</v>
      </c>
    </row>
    <row r="46" spans="1:26">
      <c r="A46" s="31"/>
      <c r="B46" s="49">
        <f>VLOOKUP($A$42,WQFCalc!$A$69:$M$74,2,FALSE)</f>
        <v>5</v>
      </c>
      <c r="C46" s="49">
        <f>VLOOKUP($A$42,WQFCalc!$A$69:$M$74,3,FALSE)</f>
        <v>15</v>
      </c>
      <c r="D46" s="51">
        <f>VLOOKUP($A$42,WQFCalc!$A$69:$M$74,4,FALSE)</f>
        <v>3.285504</v>
      </c>
      <c r="E46" s="49">
        <f>VLOOKUP($A$42,WQFCalc!$A$69:$M$74,5,FALSE)</f>
        <v>1.5833333333333333</v>
      </c>
      <c r="F46" s="49">
        <f>VLOOKUP($A$42,WQFCalc!$A$69:$M$74,6,FALSE)</f>
        <v>3.1666666666666665</v>
      </c>
      <c r="G46" s="49">
        <f>VLOOKUP($A$42,WQFCalc!$A$69:$M$74,7,FALSE)</f>
        <v>82.916666666666657</v>
      </c>
      <c r="H46" s="49">
        <f>VLOOKUP($A$42,WQFCalc!$A$69:$M$74,8,FALSE)</f>
        <v>58.041666666666657</v>
      </c>
      <c r="I46" s="49">
        <f>VLOOKUP($A$42,WQFCalc!$A$69:$M$74,9,FALSE)</f>
        <v>38</v>
      </c>
      <c r="J46" s="50">
        <f>VLOOKUP($A$42,WQFCalc!$A$69:$M$74,10,FALSE)</f>
        <v>7.8757982496244114</v>
      </c>
      <c r="K46" s="51">
        <f>VLOOKUP($A$42,WQFCalc!$A$69:$M$74,11,FALSE)</f>
        <v>0.86430785499570284</v>
      </c>
      <c r="L46" s="51" t="str">
        <f>FIXED(VLOOKUP($A$42,WQFCalc!$A$69:$M$74,12,FALSE),3)</f>
        <v>7.868</v>
      </c>
      <c r="M46" s="51">
        <f>VLOOKUP($A$42,WQFCalc!$A$69:$M$74,13,FALSE)</f>
        <v>9.1264000000000003</v>
      </c>
      <c r="N46" s="51">
        <f>VLOOKUP($A$42,WQFCalc!$A$69:$N$74,14,FALSE)</f>
        <v>39.426048000000002</v>
      </c>
      <c r="O46" s="51">
        <f>VLOOKUP($A$42,WQFCalc!$A$69:$O$74,15,FALSE)</f>
        <v>83.426047999999994</v>
      </c>
      <c r="P46" s="51">
        <f>VLOOKUP($A$42,WQFCalc!$A$69:$P$74,16,FALSE)</f>
        <v>14</v>
      </c>
      <c r="Q46" s="51">
        <f>VLOOKUP($A$42,WQFCalc!$A$69:$Q$74,17,FALSE)</f>
        <v>57.999999999999993</v>
      </c>
      <c r="R46" s="51">
        <f>VLOOKUP($A$42,WQFCalc!$A$69:$T$74,18,FALSE)</f>
        <v>51.693632412366853</v>
      </c>
      <c r="S46" s="51">
        <f>VLOOKUP($A$42,WQFCalc!$A$69:$T$74,8,FALSE)</f>
        <v>58.041666666666657</v>
      </c>
      <c r="T46" s="51">
        <f>VLOOKUP($A$42,WQFCalc!$A$69:$T$74,13,FALSE)</f>
        <v>9.1264000000000003</v>
      </c>
    </row>
    <row r="47" spans="1:26">
      <c r="A47" s="12"/>
      <c r="B47" s="12"/>
      <c r="C47" s="12"/>
      <c r="D47" s="12"/>
      <c r="E47" s="38"/>
    </row>
    <row r="48" spans="1:26" ht="45">
      <c r="A48" s="33"/>
      <c r="B48" s="45" t="s">
        <v>47</v>
      </c>
      <c r="C48" s="45" t="s">
        <v>48</v>
      </c>
      <c r="D48" s="45" t="s">
        <v>49</v>
      </c>
      <c r="E48" s="45" t="s">
        <v>57</v>
      </c>
      <c r="F48" s="45" t="s">
        <v>58</v>
      </c>
      <c r="G48" s="45" t="s">
        <v>50</v>
      </c>
      <c r="H48" s="45" t="s">
        <v>51</v>
      </c>
      <c r="I48" s="45" t="s">
        <v>59</v>
      </c>
      <c r="J48" s="45" t="s">
        <v>60</v>
      </c>
      <c r="K48" s="45" t="s">
        <v>62</v>
      </c>
      <c r="L48" s="45" t="s">
        <v>114</v>
      </c>
      <c r="M48" s="45" t="s">
        <v>61</v>
      </c>
      <c r="N48" s="45" t="s">
        <v>91</v>
      </c>
      <c r="O48" s="45" t="s">
        <v>92</v>
      </c>
      <c r="P48" s="45" t="s">
        <v>95</v>
      </c>
      <c r="Q48" s="45" t="s">
        <v>97</v>
      </c>
      <c r="R48" s="45" t="s">
        <v>106</v>
      </c>
      <c r="S48" s="45" t="s">
        <v>108</v>
      </c>
      <c r="T48" s="45" t="s">
        <v>110</v>
      </c>
    </row>
    <row r="49" spans="1:33">
      <c r="A49" s="1" t="s">
        <v>63</v>
      </c>
      <c r="B49" s="23" t="s">
        <v>64</v>
      </c>
      <c r="C49" s="23" t="s">
        <v>64</v>
      </c>
      <c r="D49" s="23" t="s">
        <v>64</v>
      </c>
      <c r="E49" s="23" t="s">
        <v>64</v>
      </c>
      <c r="F49" s="23" t="s">
        <v>64</v>
      </c>
      <c r="G49" s="23" t="s">
        <v>65</v>
      </c>
      <c r="H49" s="23" t="s">
        <v>65</v>
      </c>
      <c r="I49" s="23" t="s">
        <v>77</v>
      </c>
      <c r="J49" s="23" t="s">
        <v>65</v>
      </c>
      <c r="K49" s="23" t="s">
        <v>2</v>
      </c>
      <c r="L49" s="23" t="s">
        <v>66</v>
      </c>
      <c r="M49" s="23" t="s">
        <v>66</v>
      </c>
      <c r="N49" s="23" t="s">
        <v>64</v>
      </c>
      <c r="O49" s="23" t="s">
        <v>64</v>
      </c>
      <c r="P49" s="23" t="s">
        <v>64</v>
      </c>
      <c r="Q49" s="23" t="s">
        <v>64</v>
      </c>
      <c r="R49" s="23" t="s">
        <v>109</v>
      </c>
      <c r="S49" s="23" t="s">
        <v>65</v>
      </c>
      <c r="T49" s="23" t="s">
        <v>66</v>
      </c>
    </row>
    <row r="50" spans="1:33">
      <c r="A50" s="29"/>
      <c r="B50" s="46">
        <f>ROUND(CONVERT(B46,"ft","m"),3)</f>
        <v>1.524</v>
      </c>
      <c r="C50" s="46">
        <f>ROUND(CONVERT(C46,"ft","m"),3)</f>
        <v>4.5720000000000001</v>
      </c>
      <c r="D50" s="46">
        <f>ROUND(CONVERT(D46,"ft","m"),3)</f>
        <v>1.0009999999999999</v>
      </c>
      <c r="E50" s="46">
        <f>ROUND(CONVERT(E46,"ft","m"),3)</f>
        <v>0.48299999999999998</v>
      </c>
      <c r="F50" s="8">
        <f>ROUND(CONVERT(F46,"ft","m"),3)</f>
        <v>0.96499999999999997</v>
      </c>
      <c r="G50" s="46">
        <f>ROUND(CONVERT(G46,"ft^2","m^2"),3)</f>
        <v>7.7030000000000003</v>
      </c>
      <c r="H50" s="46">
        <f>ROUND(CONVERT(H46,"ft","m"),3)</f>
        <v>17.690999999999999</v>
      </c>
      <c r="I50" s="8">
        <f>ROUND(CONVERT(I46,"in","mm"),0)</f>
        <v>965</v>
      </c>
      <c r="J50" s="46">
        <f>CONVERT(J46,"ft^2","m^2")</f>
        <v>0.7316855998167866</v>
      </c>
      <c r="K50" s="47">
        <f>K46</f>
        <v>0.86430785499570284</v>
      </c>
      <c r="L50" s="42" t="str">
        <f>FIXED(CONVERT(L46,"yd^3","m^3"),3)</f>
        <v>6.016</v>
      </c>
      <c r="M50" s="42">
        <f>CONVERT(M46,"yd^3","m^3")</f>
        <v>6.9776334559051785</v>
      </c>
      <c r="N50" s="46">
        <f>ROUND(CONVERT(N46,"in","m"),3)</f>
        <v>1.0009999999999999</v>
      </c>
      <c r="O50" s="46">
        <f>ROUND(CONVERT(O46,"in","m"),3)</f>
        <v>2.1190000000000002</v>
      </c>
      <c r="P50" s="46">
        <f>ROUND(CONVERT(P46,"in","m"),3)</f>
        <v>0.35599999999999998</v>
      </c>
      <c r="Q50" s="46">
        <f>ROUND(CONVERT(Q46,"in","m"),3)</f>
        <v>1.4730000000000001</v>
      </c>
      <c r="R50" s="46">
        <f>ROUND(CONVERT(R46,"ft^3","l"),2)</f>
        <v>1463.8</v>
      </c>
      <c r="S50" s="46">
        <f>ROUND(CONVERT(S46,"ft^2","m^2"),3)</f>
        <v>5.3920000000000003</v>
      </c>
      <c r="T50" s="46">
        <f>ROUND(CONVERT(T46,"yd^3","m^3"),3)</f>
        <v>6.9779999999999998</v>
      </c>
    </row>
    <row r="51" spans="1:33">
      <c r="A51" s="29"/>
      <c r="B51" s="11"/>
      <c r="C51" s="11"/>
      <c r="D51" s="11"/>
      <c r="E51" s="39"/>
      <c r="AD51" t="s">
        <v>122</v>
      </c>
    </row>
    <row r="52" spans="1:33">
      <c r="A52" s="29"/>
      <c r="B52" s="11"/>
      <c r="C52" s="11"/>
      <c r="D52" s="11"/>
      <c r="E52" s="39"/>
      <c r="AD52" t="s">
        <v>123</v>
      </c>
      <c r="AE52" s="25">
        <f>(VLOOKUP(A42,C34:E39,3,FALSE)*100)</f>
        <v>100</v>
      </c>
      <c r="AG52" t="str">
        <f>"TREATMENT UNIT HAS BEEN DESIGNED TO REMOVE A MIN. "&amp;AE52&amp;"% TSS BASED ON A PSD RANGE DOWN TO A MIN. "&amp;AE53&amp;" µm AT A WATER QUALITY FLOW RATE OF "&amp;AE54&amp;" "&amp;AF54</f>
        <v>TREATMENT UNIT HAS BEEN DESIGNED TO REMOVE A MIN. 100% TSS BASED ON A PSD RANGE DOWN TO A MIN. 425 µm AT A WATER QUALITY FLOW RATE OF 10 cfs</v>
      </c>
    </row>
    <row r="53" spans="1:33">
      <c r="A53" s="12" t="s">
        <v>78</v>
      </c>
      <c r="B53" s="11"/>
      <c r="C53" s="55" t="s">
        <v>90</v>
      </c>
      <c r="D53" s="39">
        <f>IF(Project!$H$12="US",1,2)</f>
        <v>1</v>
      </c>
      <c r="E53" s="56" t="s">
        <v>102</v>
      </c>
      <c r="F53" s="57"/>
      <c r="G53" s="13"/>
      <c r="H53" s="13"/>
      <c r="I53" s="13"/>
      <c r="J53" s="13"/>
      <c r="K53" s="13"/>
      <c r="L53" s="13"/>
      <c r="M53" s="13"/>
      <c r="N53" s="13"/>
      <c r="O53" s="15"/>
      <c r="Q53" t="s">
        <v>116</v>
      </c>
      <c r="U53" t="str">
        <f>A42</f>
        <v>HDS5X15</v>
      </c>
      <c r="W53" t="str">
        <f>Q53&amp;" "&amp;U53&amp;" "&amp;"SPECIFICATION"</f>
        <v>HYDRO DRYSCREEN MODEL HDS5X15 SPECIFICATION</v>
      </c>
      <c r="AD53" t="s">
        <v>124</v>
      </c>
      <c r="AE53">
        <f>Project!$C$15</f>
        <v>425</v>
      </c>
      <c r="AG53" t="str">
        <f>"TREATMENT UNIT HAS BEEN DESIGNED TO REMOVE TRASH AT A WATER QUALITY FLOW RATE OF "&amp;AE54&amp;" "&amp;AF54</f>
        <v>TREATMENT UNIT HAS BEEN DESIGNED TO REMOVE TRASH AT A WATER QUALITY FLOW RATE OF 10 cfs</v>
      </c>
    </row>
    <row r="54" spans="1:33">
      <c r="A54" s="29"/>
      <c r="B54" s="11"/>
      <c r="C54" s="11"/>
      <c r="D54" s="11"/>
      <c r="E54" s="58" t="s">
        <v>88</v>
      </c>
      <c r="F54" s="18">
        <f>IF($D$53=1,$B$46,$B$50)</f>
        <v>5</v>
      </c>
      <c r="G54" s="22" t="str">
        <f>IF($D$53=1,"ft","m")</f>
        <v>ft</v>
      </c>
      <c r="H54" s="22" t="str">
        <f>CONCATENATE((FIXED(F54,2))," ",G54)</f>
        <v>5.00 ft</v>
      </c>
      <c r="I54" s="22"/>
      <c r="J54" s="22" t="s">
        <v>94</v>
      </c>
      <c r="K54" s="22"/>
      <c r="L54" s="18">
        <f>IF($D$53=1,$O$46,$O$50)</f>
        <v>83.426047999999994</v>
      </c>
      <c r="M54" s="22" t="str">
        <f>IF($D$53=1,"in","m")</f>
        <v>in</v>
      </c>
      <c r="N54" s="22" t="str">
        <f>CONCATENATE((FIXED(L54,2))," ",M54)</f>
        <v>83.43 in</v>
      </c>
      <c r="O54" s="14"/>
      <c r="Q54" t="s">
        <v>111</v>
      </c>
      <c r="U54">
        <f>ROUND(IF($D$53=1,R46,R50),2)</f>
        <v>51.69</v>
      </c>
      <c r="V54" s="53" t="str">
        <f>IF($D$53=1,"cfs","L/s")</f>
        <v>cfs</v>
      </c>
      <c r="W54" t="str">
        <f>Q54&amp;" "&amp;U54&amp;" "&amp;V54</f>
        <v>Max. Treatment Flow Rate: 51.69 cfs</v>
      </c>
      <c r="AD54" t="s">
        <v>125</v>
      </c>
      <c r="AE54">
        <f>Project!$C$16</f>
        <v>10</v>
      </c>
      <c r="AF54" t="str">
        <f>IF($D$53=1,"cfs","L/s")</f>
        <v>cfs</v>
      </c>
    </row>
    <row r="55" spans="1:33">
      <c r="A55" t="s">
        <v>79</v>
      </c>
      <c r="B55" s="35" t="str">
        <f>Project!$C$5</f>
        <v>Project Name</v>
      </c>
      <c r="E55" s="59" t="s">
        <v>89</v>
      </c>
      <c r="F55" s="18">
        <f>IF($D$53=1,$C$46,$C$50)</f>
        <v>15</v>
      </c>
      <c r="G55" s="22" t="str">
        <f>IF($D$53=1,"ft","m")</f>
        <v>ft</v>
      </c>
      <c r="H55" s="22" t="str">
        <f>CONCATENATE((FIXED(F55,2))," ",G55)</f>
        <v>15.00 ft</v>
      </c>
      <c r="I55" s="22"/>
      <c r="J55" s="22" t="s">
        <v>103</v>
      </c>
      <c r="K55" s="22"/>
      <c r="L55" s="18">
        <f>Project!$H$39</f>
        <v>95</v>
      </c>
      <c r="M55" s="22" t="str">
        <f>IF($D$53=1,"ft","m")</f>
        <v>ft</v>
      </c>
      <c r="N55" s="22" t="str">
        <f>CONCATENATE((FIXED(L55,3))," ",M55)</f>
        <v>95.000 ft</v>
      </c>
      <c r="O55" s="14"/>
      <c r="Q55" t="s">
        <v>112</v>
      </c>
      <c r="U55" s="53">
        <f>ROUND(IF($D$53=1,S46,S50),2)</f>
        <v>58.04</v>
      </c>
      <c r="V55" s="53" t="str">
        <f>IF($D$53=1,"sq.ft.","sq.m.")</f>
        <v>sq.ft.</v>
      </c>
      <c r="W55" s="53" t="str">
        <f>Q55&amp;" "&amp;U55&amp;" "&amp;V55</f>
        <v>Min. Open Orifice Area of Screens: 58.04 sq.ft.</v>
      </c>
      <c r="AG55" t="str">
        <f>IF(AE53="Trash",AG53,AG52)</f>
        <v>TREATMENT UNIT HAS BEEN DESIGNED TO REMOVE A MIN. 100% TSS BASED ON A PSD RANGE DOWN TO A MIN. 425 µm AT A WATER QUALITY FLOW RATE OF 10 cfs</v>
      </c>
    </row>
    <row r="56" spans="1:33">
      <c r="A56" t="s">
        <v>80</v>
      </c>
      <c r="B56" s="54" t="str">
        <f>Project!$C$6</f>
        <v>Project Street</v>
      </c>
      <c r="E56" s="60" t="s">
        <v>93</v>
      </c>
      <c r="F56" s="18">
        <f>IF($D$53=1,$N$46,$N$50)</f>
        <v>39.426048000000002</v>
      </c>
      <c r="G56" s="22" t="str">
        <f>IF($D$53=1,"in","m")</f>
        <v>in</v>
      </c>
      <c r="H56" s="22" t="str">
        <f>CONCATENATE((FIXED(F56,2))," ",G56)</f>
        <v>39.43 in</v>
      </c>
      <c r="I56" s="22"/>
      <c r="J56" s="22" t="s">
        <v>104</v>
      </c>
      <c r="K56" s="22"/>
      <c r="L56" s="18">
        <f>Project!$H$40</f>
        <v>95</v>
      </c>
      <c r="M56" s="22" t="str">
        <f>IF($D$53=1,"ft","m")</f>
        <v>ft</v>
      </c>
      <c r="N56" s="22" t="str">
        <f>CONCATENATE((FIXED(L56,3))," ",M56)</f>
        <v>95.000 ft</v>
      </c>
      <c r="O56" s="14"/>
      <c r="Q56" t="s">
        <v>113</v>
      </c>
      <c r="U56" s="63" t="str">
        <f>IF($D$53=1,L46,L50)</f>
        <v>7.868</v>
      </c>
      <c r="V56" s="53" t="str">
        <f>IF($D$53=1,"cu.yd.","cu.m.")</f>
        <v>cu.yd.</v>
      </c>
      <c r="W56" s="53" t="str">
        <f>Q56&amp;" "&amp;U56&amp;" "&amp;V56</f>
        <v>Min. Screenings Storage Capacity: 7.868 cu.yd.</v>
      </c>
    </row>
    <row r="57" spans="1:33">
      <c r="A57" s="29" t="s">
        <v>271</v>
      </c>
      <c r="B57" s="54" t="str">
        <f>(Project!$C$7)</f>
        <v>Project City</v>
      </c>
      <c r="E57" s="61"/>
      <c r="F57" s="62"/>
      <c r="G57" s="16"/>
      <c r="H57" s="16"/>
      <c r="I57" s="16"/>
      <c r="J57" s="16" t="s">
        <v>105</v>
      </c>
      <c r="K57" s="16"/>
      <c r="L57" s="28">
        <f>Project!H38</f>
        <v>100</v>
      </c>
      <c r="M57" s="16" t="str">
        <f>IF($D$53=1,"ft","m")</f>
        <v>ft</v>
      </c>
      <c r="N57" s="16" t="str">
        <f>CONCATENATE("Rim: ",(FIXED(L57,3))," ",M57)</f>
        <v>Rim: 100.000 ft</v>
      </c>
      <c r="O57" s="19"/>
      <c r="Q57" t="s">
        <v>115</v>
      </c>
      <c r="U57" s="35">
        <f>ROUND(IF($D$53=1,M46,M50),3)</f>
        <v>9.1259999999999994</v>
      </c>
      <c r="V57" s="53" t="str">
        <f>IF($D$53=1,"cu.yd.","cu.m.")</f>
        <v>cu.yd.</v>
      </c>
      <c r="W57" s="53" t="str">
        <f>Q57&amp;" "&amp;U57&amp;" "&amp;V57</f>
        <v>Min. Sediment Storage Capacity: 9.126 cu.yd.</v>
      </c>
    </row>
    <row r="58" spans="1:33">
      <c r="B58" s="54" t="str">
        <f>Project!$C$8</f>
        <v>Project State</v>
      </c>
      <c r="Q58" t="s">
        <v>160</v>
      </c>
      <c r="U58" t="str">
        <f>Project!$I$15</f>
        <v>19mm (0.75") Std</v>
      </c>
      <c r="W58" t="str">
        <f>Q58&amp;" "&amp;U58</f>
        <v>Screen Mesh Size: 19mm (0.75") Std</v>
      </c>
    </row>
    <row r="59" spans="1:33">
      <c r="Q59" t="s">
        <v>134</v>
      </c>
    </row>
    <row r="60" spans="1:33">
      <c r="A60" s="1" t="s">
        <v>83</v>
      </c>
      <c r="J60" t="s">
        <v>6</v>
      </c>
      <c r="K60" t="s">
        <v>100</v>
      </c>
      <c r="L60" t="s">
        <v>101</v>
      </c>
      <c r="Q60" t="str">
        <f>Project!C39</f>
        <v>Online</v>
      </c>
      <c r="R60">
        <f>Project!C42</f>
        <v>92.70030267898639</v>
      </c>
      <c r="S60" t="str">
        <f>IF(R60&gt;U54,"Excess Peak Flow",IF(R60&lt;Project!C16,"Peak&lt;Treatment","OK"))</f>
        <v>Excess Peak Flow</v>
      </c>
    </row>
    <row r="61" spans="1:33">
      <c r="C61" t="s">
        <v>6</v>
      </c>
      <c r="D61" t="s">
        <v>98</v>
      </c>
      <c r="E61" s="35" t="s">
        <v>5</v>
      </c>
      <c r="I61" s="35" t="s">
        <v>87</v>
      </c>
      <c r="J61" s="17">
        <f>Project!$H$38</f>
        <v>100</v>
      </c>
      <c r="K61" s="17"/>
    </row>
    <row r="62" spans="1:33">
      <c r="A62" t="s">
        <v>84</v>
      </c>
      <c r="C62" s="7">
        <f>Project!C40</f>
        <v>48</v>
      </c>
      <c r="D62">
        <f>IF($D$53=1,$I$46,$I$50)</f>
        <v>38</v>
      </c>
      <c r="E62" s="35" t="str">
        <f>IF(C62&lt;=D62,"OK","Max. "&amp;D62&amp;F62)</f>
        <v>Max. 38in</v>
      </c>
      <c r="F62" s="35" t="str">
        <f>IF($D$53=1,"in","mm")</f>
        <v>in</v>
      </c>
      <c r="I62" s="35" t="s">
        <v>86</v>
      </c>
      <c r="J62" s="17">
        <f>Project!H39</f>
        <v>95</v>
      </c>
      <c r="K62">
        <f>ROUND(IF($D$53=1,$Q$46/12,$Q$50),3)</f>
        <v>4.8330000000000002</v>
      </c>
      <c r="L62" s="17">
        <f>J61-J62</f>
        <v>5</v>
      </c>
      <c r="M62" t="str">
        <f>IF(L62&gt;=K62,"OK","Min. "&amp;K62&amp;N62)</f>
        <v>OK</v>
      </c>
      <c r="N62" t="str">
        <f>IF($D$53=1,"ft","m")</f>
        <v>ft</v>
      </c>
    </row>
    <row r="63" spans="1:33">
      <c r="A63" t="s">
        <v>85</v>
      </c>
      <c r="C63" s="7">
        <f>Project!C41</f>
        <v>48</v>
      </c>
      <c r="D63" s="52">
        <f>IF($D$53=1,$I$46,$I$50)</f>
        <v>38</v>
      </c>
      <c r="E63" s="35" t="str">
        <f>IF(C63&lt;=D63,"OK","Max. "&amp;D63&amp;F63)</f>
        <v>Max. 38in</v>
      </c>
      <c r="F63" s="35" t="str">
        <f>IF($D$53=1,"in","mm")</f>
        <v>in</v>
      </c>
      <c r="I63" s="35" t="s">
        <v>99</v>
      </c>
      <c r="J63" s="17">
        <f>Project!H40</f>
        <v>95</v>
      </c>
      <c r="K63" s="52">
        <f>ROUND(IF($D$53=1,$Q$46/12,$Q$50),3)</f>
        <v>4.8330000000000002</v>
      </c>
      <c r="L63" s="17">
        <f>J61-J63</f>
        <v>5</v>
      </c>
      <c r="M63" s="52" t="str">
        <f>IF(L63&gt;=K63,"OK","Min. "&amp;K63&amp;N63)</f>
        <v>OK</v>
      </c>
      <c r="N63" s="52" t="str">
        <f>IF($D$53=1,"ft","m")</f>
        <v>ft</v>
      </c>
      <c r="AA63" s="53"/>
      <c r="AB63" s="53"/>
      <c r="AC63" s="53"/>
    </row>
    <row r="64" spans="1:33">
      <c r="AA64" s="53"/>
      <c r="AB64" s="53"/>
      <c r="AC64" s="53"/>
      <c r="AE64" t="s">
        <v>260</v>
      </c>
    </row>
    <row r="66" spans="1:50">
      <c r="W66" s="103" t="s">
        <v>130</v>
      </c>
      <c r="X66" s="13"/>
      <c r="Y66" s="13"/>
      <c r="Z66" s="13"/>
      <c r="AA66" s="13"/>
      <c r="AB66" s="13"/>
      <c r="AC66" s="15"/>
      <c r="AE66" t="s">
        <v>257</v>
      </c>
    </row>
    <row r="67" spans="1:50" ht="45">
      <c r="A67" s="134" t="s">
        <v>7</v>
      </c>
      <c r="B67" s="135" t="s">
        <v>47</v>
      </c>
      <c r="C67" s="135" t="s">
        <v>48</v>
      </c>
      <c r="D67" s="135" t="s">
        <v>49</v>
      </c>
      <c r="E67" s="135" t="s">
        <v>57</v>
      </c>
      <c r="F67" s="135" t="s">
        <v>58</v>
      </c>
      <c r="G67" s="135" t="s">
        <v>50</v>
      </c>
      <c r="H67" s="135" t="s">
        <v>51</v>
      </c>
      <c r="I67" s="135" t="s">
        <v>59</v>
      </c>
      <c r="J67" s="135" t="s">
        <v>60</v>
      </c>
      <c r="K67" s="135" t="s">
        <v>62</v>
      </c>
      <c r="L67" s="135" t="s">
        <v>245</v>
      </c>
      <c r="M67" s="135" t="s">
        <v>61</v>
      </c>
      <c r="N67" s="135" t="s">
        <v>91</v>
      </c>
      <c r="O67" s="135" t="s">
        <v>176</v>
      </c>
      <c r="P67" s="135" t="s">
        <v>95</v>
      </c>
      <c r="Q67" s="135" t="s">
        <v>177</v>
      </c>
      <c r="R67" s="135" t="s">
        <v>208</v>
      </c>
      <c r="S67" s="135" t="s">
        <v>209</v>
      </c>
      <c r="T67" s="135" t="s">
        <v>210</v>
      </c>
      <c r="U67" s="13"/>
      <c r="V67" s="15"/>
      <c r="W67" s="78"/>
      <c r="X67" s="128" t="s">
        <v>59</v>
      </c>
      <c r="Y67" s="22"/>
      <c r="Z67" s="128" t="s">
        <v>106</v>
      </c>
      <c r="AA67" s="22"/>
      <c r="AB67" s="22"/>
      <c r="AC67" s="14"/>
      <c r="AE67" s="65" t="s">
        <v>258</v>
      </c>
      <c r="AF67" s="65" t="s">
        <v>60</v>
      </c>
      <c r="AG67" s="65" t="s">
        <v>259</v>
      </c>
    </row>
    <row r="68" spans="1:50">
      <c r="A68" s="78"/>
      <c r="B68" s="129" t="s">
        <v>52</v>
      </c>
      <c r="C68" s="129" t="s">
        <v>52</v>
      </c>
      <c r="D68" s="129" t="s">
        <v>52</v>
      </c>
      <c r="E68" s="129" t="s">
        <v>52</v>
      </c>
      <c r="F68" s="129" t="s">
        <v>52</v>
      </c>
      <c r="G68" s="129" t="s">
        <v>53</v>
      </c>
      <c r="H68" s="129" t="s">
        <v>54</v>
      </c>
      <c r="I68" s="129" t="s">
        <v>55</v>
      </c>
      <c r="J68" s="129" t="s">
        <v>53</v>
      </c>
      <c r="K68" s="129" t="s">
        <v>2</v>
      </c>
      <c r="L68" s="129" t="s">
        <v>56</v>
      </c>
      <c r="M68" s="129" t="s">
        <v>56</v>
      </c>
      <c r="N68" s="129" t="s">
        <v>55</v>
      </c>
      <c r="O68" s="129" t="s">
        <v>55</v>
      </c>
      <c r="P68" s="129" t="s">
        <v>55</v>
      </c>
      <c r="Q68" s="129" t="s">
        <v>55</v>
      </c>
      <c r="R68" s="129" t="s">
        <v>107</v>
      </c>
      <c r="S68" s="129" t="s">
        <v>107</v>
      </c>
      <c r="T68" s="129" t="s">
        <v>107</v>
      </c>
      <c r="U68" s="22"/>
      <c r="V68" s="14"/>
      <c r="W68" s="78"/>
      <c r="X68" s="129" t="s">
        <v>55</v>
      </c>
      <c r="Y68" s="22"/>
      <c r="Z68" s="129" t="s">
        <v>107</v>
      </c>
      <c r="AA68" s="22"/>
      <c r="AB68" s="22"/>
      <c r="AC68" s="14"/>
      <c r="AE68">
        <f>IF(Project!H12="US",Project!C41,CONVERT(Project!C41,"mm","in"))</f>
        <v>48</v>
      </c>
      <c r="AF68" s="24">
        <f>(PI()*(AE68/2)^2)/144</f>
        <v>12.566370614359172</v>
      </c>
      <c r="AG68" s="53">
        <f>0.65*AF68*SQRT(2*32.2*(AE68/12)/2)</f>
        <v>92.70030267898639</v>
      </c>
      <c r="AH68" t="s">
        <v>261</v>
      </c>
    </row>
    <row r="69" spans="1:50">
      <c r="A69" s="78" t="s">
        <v>171</v>
      </c>
      <c r="B69" s="130">
        <v>4</v>
      </c>
      <c r="C69" s="130">
        <v>8</v>
      </c>
      <c r="D69" s="136">
        <f t="shared" ref="D69:D73" si="13">(M69*27)/(B69*C69)</f>
        <v>2.0368968749999996</v>
      </c>
      <c r="E69" s="137">
        <f t="shared" ref="E69:E73" si="14">(I69/2)/12</f>
        <v>1.3333333333333333</v>
      </c>
      <c r="F69" s="138">
        <f t="shared" ref="F69:F74" si="15">I69/12</f>
        <v>2.6666666666666665</v>
      </c>
      <c r="G69" s="138">
        <f t="shared" ref="G69:G74" si="16">B69*(C69-E69)+B69*F69</f>
        <v>37.333333333333336</v>
      </c>
      <c r="H69" s="130">
        <f t="shared" ref="H69:H74" si="17">G69*0.7</f>
        <v>26.133333333333333</v>
      </c>
      <c r="I69" s="139">
        <f>ROUND(B69*3.6+18,0)</f>
        <v>32</v>
      </c>
      <c r="J69" s="138">
        <f t="shared" ref="J69:J74" si="18">(PI()*(I69/2)^2)/144</f>
        <v>5.5850536063818543</v>
      </c>
      <c r="K69" s="140">
        <f t="shared" ref="K69:K74" si="19">1-J69/H69</f>
        <v>0.78628621404151067</v>
      </c>
      <c r="L69" s="141">
        <f>B69*(C69-E69)*F69/27</f>
        <v>2.6337448559670782</v>
      </c>
      <c r="M69" s="142">
        <f t="shared" ref="M69:M73" si="20">0.1561*B69*C69-2.5811</f>
        <v>2.4140999999999995</v>
      </c>
      <c r="N69" s="142">
        <f t="shared" ref="N69:N74" si="21">D69*12</f>
        <v>24.442762499999994</v>
      </c>
      <c r="O69" s="143">
        <f t="shared" ref="O69:O74" si="22">((D69+F69)*12)+3+3</f>
        <v>62.442762499999994</v>
      </c>
      <c r="P69" s="144">
        <f t="shared" ref="P69:P74" si="23">EVEN(0.5*B69+10)</f>
        <v>12</v>
      </c>
      <c r="Q69" s="142">
        <f t="shared" ref="Q69:Q74" si="24">O69+P69-N69</f>
        <v>49.999999999999993</v>
      </c>
      <c r="R69" s="136">
        <f t="shared" ref="R69:R74" si="25">0.65*J69*SQRT(2*32.2*(I69/12)/2)</f>
        <v>33.639768972603434</v>
      </c>
      <c r="S69" s="136">
        <f t="shared" ref="S69:S73" si="26">R69*0.7</f>
        <v>23.547838280822404</v>
      </c>
      <c r="T69" s="143">
        <f t="shared" ref="T69:T74" si="27">0.3342*B69*C69</f>
        <v>10.6944</v>
      </c>
      <c r="U69" s="22"/>
      <c r="V69" s="14"/>
      <c r="W69" s="78"/>
      <c r="X69" s="130">
        <f t="shared" ref="X69:X74" si="28">I69</f>
        <v>32</v>
      </c>
      <c r="Y69" s="22" t="s">
        <v>131</v>
      </c>
      <c r="Z69" s="131">
        <f t="shared" ref="Z69:Z74" si="29">ROUND(R69,1)</f>
        <v>33.6</v>
      </c>
      <c r="AA69" s="22" t="s">
        <v>3</v>
      </c>
      <c r="AB69" s="22" t="str">
        <f t="shared" ref="AB69:AB74" si="30">X69&amp;" "&amp;Y69</f>
        <v>32 in</v>
      </c>
      <c r="AC69" s="14" t="str">
        <f t="shared" ref="AC69:AC74" si="31">Z69&amp;" "&amp;AA69</f>
        <v>33.6 cfs</v>
      </c>
      <c r="AG69">
        <f>CONVERT(AG68,"ft^3","l")</f>
        <v>2624.9802499928242</v>
      </c>
      <c r="AH69" t="s">
        <v>132</v>
      </c>
    </row>
    <row r="70" spans="1:50">
      <c r="A70" s="78" t="s">
        <v>172</v>
      </c>
      <c r="B70" s="130">
        <v>6</v>
      </c>
      <c r="C70" s="130">
        <v>12</v>
      </c>
      <c r="D70" s="136">
        <f t="shared" si="13"/>
        <v>3.246787499999999</v>
      </c>
      <c r="E70" s="137">
        <f t="shared" si="14"/>
        <v>1.75</v>
      </c>
      <c r="F70" s="138">
        <f t="shared" si="15"/>
        <v>3.5</v>
      </c>
      <c r="G70" s="138">
        <f t="shared" si="16"/>
        <v>82.5</v>
      </c>
      <c r="H70" s="130">
        <f t="shared" si="17"/>
        <v>57.749999999999993</v>
      </c>
      <c r="I70" s="139">
        <f t="shared" ref="I70" si="32">ROUND(B70*3.6+20,0)</f>
        <v>42</v>
      </c>
      <c r="J70" s="138">
        <f t="shared" si="18"/>
        <v>9.6211275016187408</v>
      </c>
      <c r="K70" s="140">
        <f t="shared" si="19"/>
        <v>0.8334003895823594</v>
      </c>
      <c r="L70" s="141">
        <f t="shared" ref="L70:L73" si="33">B70*(C70-E70)*F70/27</f>
        <v>7.9722222222222223</v>
      </c>
      <c r="M70" s="142">
        <f t="shared" si="20"/>
        <v>8.6580999999999975</v>
      </c>
      <c r="N70" s="142">
        <f t="shared" si="21"/>
        <v>38.961449999999985</v>
      </c>
      <c r="O70" s="143">
        <f t="shared" si="22"/>
        <v>86.961449999999985</v>
      </c>
      <c r="P70" s="144">
        <f t="shared" si="23"/>
        <v>14</v>
      </c>
      <c r="Q70" s="142">
        <f t="shared" si="24"/>
        <v>62</v>
      </c>
      <c r="R70" s="136">
        <f t="shared" si="25"/>
        <v>66.389788443263555</v>
      </c>
      <c r="S70" s="136">
        <f t="shared" si="26"/>
        <v>46.472851910284483</v>
      </c>
      <c r="T70" s="143">
        <f t="shared" si="27"/>
        <v>24.062399999999997</v>
      </c>
      <c r="U70" s="22"/>
      <c r="V70" s="14"/>
      <c r="W70" s="78"/>
      <c r="X70" s="130">
        <f t="shared" si="28"/>
        <v>42</v>
      </c>
      <c r="Y70" s="22" t="s">
        <v>131</v>
      </c>
      <c r="Z70" s="131">
        <f t="shared" si="29"/>
        <v>66.400000000000006</v>
      </c>
      <c r="AA70" s="22" t="s">
        <v>3</v>
      </c>
      <c r="AB70" s="22" t="str">
        <f t="shared" si="30"/>
        <v>42 in</v>
      </c>
      <c r="AC70" s="14" t="str">
        <f t="shared" si="31"/>
        <v>66.4 cfs</v>
      </c>
      <c r="AG70" s="17">
        <f>IF(Project!$H$12="US",WQFCalc!AG68,WQFCalc!AG69)</f>
        <v>92.70030267898639</v>
      </c>
      <c r="AH70" t="s">
        <v>262</v>
      </c>
    </row>
    <row r="71" spans="1:50">
      <c r="A71" s="78" t="s">
        <v>173</v>
      </c>
      <c r="B71" s="130">
        <v>8</v>
      </c>
      <c r="C71" s="130">
        <v>14</v>
      </c>
      <c r="D71" s="136">
        <f t="shared" si="13"/>
        <v>3.5924705357142863</v>
      </c>
      <c r="E71" s="137">
        <f t="shared" si="14"/>
        <v>2</v>
      </c>
      <c r="F71" s="138">
        <f t="shared" si="15"/>
        <v>4</v>
      </c>
      <c r="G71" s="138">
        <f t="shared" si="16"/>
        <v>128</v>
      </c>
      <c r="H71" s="130">
        <f t="shared" si="17"/>
        <v>89.6</v>
      </c>
      <c r="I71" s="139">
        <f>ROUND(B71*3.6+19,0)</f>
        <v>48</v>
      </c>
      <c r="J71" s="138">
        <f t="shared" si="18"/>
        <v>12.566370614359172</v>
      </c>
      <c r="K71" s="140">
        <f t="shared" si="19"/>
        <v>0.85975032796474138</v>
      </c>
      <c r="L71" s="141">
        <f t="shared" si="33"/>
        <v>14.222222222222221</v>
      </c>
      <c r="M71" s="142">
        <f t="shared" si="20"/>
        <v>14.902100000000001</v>
      </c>
      <c r="N71" s="142">
        <f t="shared" si="21"/>
        <v>43.109646428571438</v>
      </c>
      <c r="O71" s="143">
        <f t="shared" si="22"/>
        <v>97.109646428571438</v>
      </c>
      <c r="P71" s="144">
        <f t="shared" si="23"/>
        <v>14</v>
      </c>
      <c r="Q71" s="142">
        <f t="shared" si="24"/>
        <v>68</v>
      </c>
      <c r="R71" s="136">
        <f t="shared" si="25"/>
        <v>92.70030267898639</v>
      </c>
      <c r="S71" s="136">
        <f t="shared" si="26"/>
        <v>64.890211875290476</v>
      </c>
      <c r="T71" s="143">
        <f t="shared" si="27"/>
        <v>37.430399999999999</v>
      </c>
      <c r="U71" s="22"/>
      <c r="V71" s="14"/>
      <c r="W71" s="78"/>
      <c r="X71" s="130">
        <f t="shared" si="28"/>
        <v>48</v>
      </c>
      <c r="Y71" s="22" t="s">
        <v>131</v>
      </c>
      <c r="Z71" s="131">
        <f t="shared" si="29"/>
        <v>92.7</v>
      </c>
      <c r="AA71" s="22" t="s">
        <v>3</v>
      </c>
      <c r="AB71" s="22" t="str">
        <f t="shared" si="30"/>
        <v>48 in</v>
      </c>
      <c r="AC71" s="14" t="str">
        <f t="shared" si="31"/>
        <v>92.7 cfs</v>
      </c>
    </row>
    <row r="72" spans="1:50">
      <c r="A72" s="78" t="s">
        <v>174</v>
      </c>
      <c r="B72" s="130">
        <v>10</v>
      </c>
      <c r="C72" s="130">
        <v>16</v>
      </c>
      <c r="D72" s="136">
        <f t="shared" si="13"/>
        <v>3.7791393749999997</v>
      </c>
      <c r="E72" s="137">
        <f t="shared" si="14"/>
        <v>2.25</v>
      </c>
      <c r="F72" s="138">
        <f t="shared" si="15"/>
        <v>4.5</v>
      </c>
      <c r="G72" s="138">
        <f t="shared" si="16"/>
        <v>182.5</v>
      </c>
      <c r="H72" s="130">
        <f t="shared" si="17"/>
        <v>127.74999999999999</v>
      </c>
      <c r="I72" s="139">
        <f>ROUND(B72*3.6+18,0)</f>
        <v>54</v>
      </c>
      <c r="J72" s="138">
        <f t="shared" si="18"/>
        <v>15.904312808798327</v>
      </c>
      <c r="K72" s="140">
        <f t="shared" si="19"/>
        <v>0.87550440071390745</v>
      </c>
      <c r="L72" s="141">
        <f t="shared" si="33"/>
        <v>22.916666666666668</v>
      </c>
      <c r="M72" s="142">
        <f t="shared" si="20"/>
        <v>22.3949</v>
      </c>
      <c r="N72" s="142">
        <f t="shared" si="21"/>
        <v>45.349672499999997</v>
      </c>
      <c r="O72" s="143">
        <f t="shared" si="22"/>
        <v>105.3496725</v>
      </c>
      <c r="P72" s="144">
        <f t="shared" si="23"/>
        <v>16</v>
      </c>
      <c r="Q72" s="142">
        <f t="shared" si="24"/>
        <v>76</v>
      </c>
      <c r="R72" s="136">
        <f t="shared" si="25"/>
        <v>124.44070368822413</v>
      </c>
      <c r="S72" s="136">
        <f t="shared" si="26"/>
        <v>87.108492581756892</v>
      </c>
      <c r="T72" s="143">
        <f t="shared" si="27"/>
        <v>53.472000000000001</v>
      </c>
      <c r="U72" s="22"/>
      <c r="V72" s="14"/>
      <c r="W72" s="78"/>
      <c r="X72" s="130">
        <f t="shared" si="28"/>
        <v>54</v>
      </c>
      <c r="Y72" s="22" t="s">
        <v>131</v>
      </c>
      <c r="Z72" s="131">
        <f t="shared" si="29"/>
        <v>124.4</v>
      </c>
      <c r="AA72" s="22" t="s">
        <v>3</v>
      </c>
      <c r="AB72" s="22" t="str">
        <f t="shared" si="30"/>
        <v>54 in</v>
      </c>
      <c r="AC72" s="14" t="str">
        <f t="shared" si="31"/>
        <v>124.4 cfs</v>
      </c>
      <c r="AD72" s="53"/>
      <c r="AE72" s="53"/>
      <c r="AF72" s="53"/>
      <c r="AG72" s="53"/>
      <c r="AH72" s="53"/>
      <c r="AI72" s="53"/>
      <c r="AJ72" s="53"/>
      <c r="AK72" s="53"/>
      <c r="AL72" s="53"/>
      <c r="AM72" s="53"/>
      <c r="AN72" s="53"/>
      <c r="AO72" s="53"/>
      <c r="AP72" s="53"/>
      <c r="AQ72" s="53"/>
      <c r="AR72" s="53"/>
      <c r="AS72" s="53"/>
      <c r="AT72" s="53"/>
      <c r="AU72" s="53"/>
      <c r="AV72" s="53"/>
      <c r="AW72" s="53"/>
      <c r="AX72" s="53"/>
    </row>
    <row r="73" spans="1:50">
      <c r="A73" s="78" t="s">
        <v>175</v>
      </c>
      <c r="B73" s="130">
        <v>12</v>
      </c>
      <c r="C73" s="130">
        <v>20</v>
      </c>
      <c r="D73" s="136">
        <f t="shared" si="13"/>
        <v>3.92432625</v>
      </c>
      <c r="E73" s="137">
        <f t="shared" si="14"/>
        <v>2.5</v>
      </c>
      <c r="F73" s="138">
        <f t="shared" si="15"/>
        <v>5</v>
      </c>
      <c r="G73" s="138">
        <f t="shared" si="16"/>
        <v>270</v>
      </c>
      <c r="H73" s="130">
        <f t="shared" si="17"/>
        <v>189</v>
      </c>
      <c r="I73" s="139">
        <f>ROUND(B73*3.6+17,0)</f>
        <v>60</v>
      </c>
      <c r="J73" s="138">
        <f t="shared" si="18"/>
        <v>19.634954084936208</v>
      </c>
      <c r="K73" s="140">
        <f t="shared" si="19"/>
        <v>0.89611135404795661</v>
      </c>
      <c r="L73" s="141">
        <f t="shared" si="33"/>
        <v>38.888888888888886</v>
      </c>
      <c r="M73" s="142">
        <f t="shared" si="20"/>
        <v>34.882899999999999</v>
      </c>
      <c r="N73" s="142">
        <f t="shared" si="21"/>
        <v>47.091915</v>
      </c>
      <c r="O73" s="143">
        <f t="shared" si="22"/>
        <v>113.091915</v>
      </c>
      <c r="P73" s="144">
        <f t="shared" si="23"/>
        <v>16</v>
      </c>
      <c r="Q73" s="142">
        <f t="shared" si="24"/>
        <v>82</v>
      </c>
      <c r="R73" s="136">
        <f t="shared" si="25"/>
        <v>161.94076431642145</v>
      </c>
      <c r="S73" s="136">
        <f t="shared" si="26"/>
        <v>113.358535021495</v>
      </c>
      <c r="T73" s="143">
        <f t="shared" si="27"/>
        <v>80.207999999999998</v>
      </c>
      <c r="U73" s="22"/>
      <c r="V73" s="14"/>
      <c r="W73" s="78"/>
      <c r="X73" s="130">
        <f t="shared" si="28"/>
        <v>60</v>
      </c>
      <c r="Y73" s="22" t="s">
        <v>131</v>
      </c>
      <c r="Z73" s="131">
        <f t="shared" si="29"/>
        <v>161.9</v>
      </c>
      <c r="AA73" s="22" t="s">
        <v>3</v>
      </c>
      <c r="AB73" s="22" t="str">
        <f t="shared" si="30"/>
        <v>60 in</v>
      </c>
      <c r="AC73" s="14" t="str">
        <f t="shared" si="31"/>
        <v>161.9 cfs</v>
      </c>
    </row>
    <row r="74" spans="1:50" s="53" customFormat="1">
      <c r="A74" s="145" t="str">
        <f>Project!C33</f>
        <v>HDS5X15</v>
      </c>
      <c r="B74" s="139">
        <f>C16</f>
        <v>5</v>
      </c>
      <c r="C74" s="139">
        <f>D16</f>
        <v>15</v>
      </c>
      <c r="D74" s="136">
        <f>(M74*27)/(B74*C74)</f>
        <v>3.285504</v>
      </c>
      <c r="E74" s="136">
        <f>(I74/2)/12</f>
        <v>1.5833333333333333</v>
      </c>
      <c r="F74" s="136">
        <f t="shared" si="15"/>
        <v>3.1666666666666665</v>
      </c>
      <c r="G74" s="136">
        <f t="shared" si="16"/>
        <v>82.916666666666657</v>
      </c>
      <c r="H74" s="144">
        <f t="shared" si="17"/>
        <v>58.041666666666657</v>
      </c>
      <c r="I74" s="139">
        <f>ROUND(B74*3.6+20,0)</f>
        <v>38</v>
      </c>
      <c r="J74" s="136">
        <f t="shared" si="18"/>
        <v>7.8757982496244114</v>
      </c>
      <c r="K74" s="146">
        <f t="shared" si="19"/>
        <v>0.86430785499570284</v>
      </c>
      <c r="L74" s="142">
        <f>B74*(C74-E74)*F74/27</f>
        <v>7.8677983539094649</v>
      </c>
      <c r="M74" s="142">
        <f>0.1561*B74*C74-2.5811</f>
        <v>9.1264000000000003</v>
      </c>
      <c r="N74" s="142">
        <f t="shared" si="21"/>
        <v>39.426048000000002</v>
      </c>
      <c r="O74" s="143">
        <f t="shared" si="22"/>
        <v>83.426047999999994</v>
      </c>
      <c r="P74" s="144">
        <f t="shared" si="23"/>
        <v>14</v>
      </c>
      <c r="Q74" s="142">
        <f t="shared" si="24"/>
        <v>57.999999999999993</v>
      </c>
      <c r="R74" s="136">
        <f t="shared" si="25"/>
        <v>51.693632412366853</v>
      </c>
      <c r="S74" s="136">
        <f>R74*0.7</f>
        <v>36.185542688656795</v>
      </c>
      <c r="T74" s="143">
        <f t="shared" si="27"/>
        <v>25.065000000000001</v>
      </c>
      <c r="U74" s="22"/>
      <c r="V74" s="14"/>
      <c r="W74" s="78"/>
      <c r="X74" s="130">
        <f t="shared" si="28"/>
        <v>38</v>
      </c>
      <c r="Y74" s="22" t="s">
        <v>131</v>
      </c>
      <c r="Z74" s="131">
        <f t="shared" si="29"/>
        <v>51.7</v>
      </c>
      <c r="AA74" s="22" t="s">
        <v>3</v>
      </c>
      <c r="AB74" s="22" t="str">
        <f t="shared" si="30"/>
        <v>38 in</v>
      </c>
      <c r="AC74" s="14" t="str">
        <f t="shared" si="31"/>
        <v>51.7 cfs</v>
      </c>
      <c r="AD74"/>
      <c r="AE74"/>
      <c r="AF74"/>
      <c r="AG74"/>
      <c r="AH74"/>
      <c r="AI74"/>
      <c r="AJ74"/>
      <c r="AK74"/>
      <c r="AL74"/>
      <c r="AM74"/>
      <c r="AN74"/>
      <c r="AO74"/>
      <c r="AP74"/>
      <c r="AQ74"/>
      <c r="AR74"/>
      <c r="AS74"/>
      <c r="AT74"/>
      <c r="AU74"/>
      <c r="AV74"/>
      <c r="AW74"/>
      <c r="AX74"/>
    </row>
    <row r="75" spans="1:50">
      <c r="A75" s="78"/>
      <c r="B75" s="130"/>
      <c r="C75" s="130"/>
      <c r="D75" s="138"/>
      <c r="E75" s="130"/>
      <c r="F75" s="130"/>
      <c r="G75" s="130"/>
      <c r="H75" s="130"/>
      <c r="I75" s="130"/>
      <c r="J75" s="138"/>
      <c r="K75" s="140"/>
      <c r="L75" s="147"/>
      <c r="M75" s="147"/>
      <c r="N75" s="22"/>
      <c r="O75" s="22"/>
      <c r="P75" s="22"/>
      <c r="Q75" s="22"/>
      <c r="R75" s="22"/>
      <c r="S75" s="22"/>
      <c r="T75" s="22"/>
      <c r="U75" s="22"/>
      <c r="V75" s="14"/>
      <c r="W75" s="78"/>
      <c r="X75" s="130"/>
      <c r="Y75" s="22"/>
      <c r="Z75" s="22"/>
      <c r="AA75" s="22"/>
      <c r="AB75" s="22"/>
      <c r="AC75" s="14"/>
    </row>
    <row r="76" spans="1:50" ht="48.75" customHeight="1">
      <c r="A76" s="78"/>
      <c r="B76" s="128" t="str">
        <f>B67</f>
        <v>Width</v>
      </c>
      <c r="C76" s="128" t="str">
        <f t="shared" ref="C76:M76" si="34">C67</f>
        <v>Length</v>
      </c>
      <c r="D76" s="128" t="str">
        <f t="shared" si="34"/>
        <v>Weir Ht.</v>
      </c>
      <c r="E76" s="128" t="str">
        <f t="shared" si="34"/>
        <v>Downstream Gap</v>
      </c>
      <c r="F76" s="128" t="str">
        <f t="shared" si="34"/>
        <v>Screen Height</v>
      </c>
      <c r="G76" s="128" t="str">
        <f t="shared" si="34"/>
        <v>Screen Area</v>
      </c>
      <c r="H76" s="128" t="str">
        <f t="shared" si="34"/>
        <v>Open Area</v>
      </c>
      <c r="I76" s="128" t="str">
        <f t="shared" si="34"/>
        <v>Max Pipe</v>
      </c>
      <c r="J76" s="128" t="str">
        <f t="shared" si="34"/>
        <v>Pipe Area</v>
      </c>
      <c r="K76" s="128" t="str">
        <f t="shared" si="34"/>
        <v>Allowed Blockage</v>
      </c>
      <c r="L76" s="128" t="str">
        <f t="shared" si="34"/>
        <v>Total Screen Storage</v>
      </c>
      <c r="M76" s="128" t="str">
        <f t="shared" si="34"/>
        <v>Total Sediment Storage</v>
      </c>
      <c r="N76" s="128" t="str">
        <f>N67</f>
        <v>Invert to Sump</v>
      </c>
      <c r="O76" s="128" t="str">
        <f>O67</f>
        <v>Min Internal Height</v>
      </c>
      <c r="P76" s="128" t="str">
        <f>P67</f>
        <v>Top Slab &amp; Frame</v>
      </c>
      <c r="Q76" s="128" t="str">
        <f>Q67</f>
        <v>Min Rim to Inv</v>
      </c>
      <c r="R76" s="128" t="str">
        <f>R67</f>
        <v>Max Bypass Flow</v>
      </c>
      <c r="S76" s="128"/>
      <c r="T76" s="128"/>
      <c r="U76" s="22"/>
      <c r="V76" s="14"/>
      <c r="W76" s="78"/>
      <c r="X76" s="128" t="s">
        <v>59</v>
      </c>
      <c r="Y76" s="22"/>
      <c r="Z76" s="128" t="s">
        <v>106</v>
      </c>
      <c r="AA76" s="22"/>
      <c r="AB76" s="22"/>
      <c r="AC76" s="14"/>
    </row>
    <row r="77" spans="1:50">
      <c r="A77" s="127" t="s">
        <v>63</v>
      </c>
      <c r="B77" s="129" t="s">
        <v>64</v>
      </c>
      <c r="C77" s="129" t="s">
        <v>64</v>
      </c>
      <c r="D77" s="129" t="s">
        <v>64</v>
      </c>
      <c r="E77" s="129" t="s">
        <v>64</v>
      </c>
      <c r="F77" s="129" t="s">
        <v>64</v>
      </c>
      <c r="G77" s="129" t="s">
        <v>65</v>
      </c>
      <c r="H77" s="129" t="s">
        <v>65</v>
      </c>
      <c r="I77" s="129" t="s">
        <v>77</v>
      </c>
      <c r="J77" s="129" t="s">
        <v>65</v>
      </c>
      <c r="K77" s="129" t="s">
        <v>2</v>
      </c>
      <c r="L77" s="129" t="s">
        <v>66</v>
      </c>
      <c r="M77" s="129" t="s">
        <v>66</v>
      </c>
      <c r="N77" s="129" t="s">
        <v>64</v>
      </c>
      <c r="O77" s="129" t="s">
        <v>64</v>
      </c>
      <c r="P77" s="129" t="s">
        <v>64</v>
      </c>
      <c r="Q77" s="129" t="s">
        <v>64</v>
      </c>
      <c r="R77" s="129" t="s">
        <v>109</v>
      </c>
      <c r="S77" s="129"/>
      <c r="T77" s="129"/>
      <c r="U77" s="22"/>
      <c r="V77" s="14"/>
      <c r="W77" s="78"/>
      <c r="X77" s="129" t="s">
        <v>77</v>
      </c>
      <c r="Y77" s="22"/>
      <c r="Z77" s="129" t="s">
        <v>109</v>
      </c>
      <c r="AA77" s="22"/>
      <c r="AB77" s="22"/>
      <c r="AC77" s="14"/>
    </row>
    <row r="78" spans="1:50">
      <c r="A78" s="78" t="str">
        <f>A69</f>
        <v>HDS4X8</v>
      </c>
      <c r="B78" s="148">
        <f t="shared" ref="B78:F83" si="35">CONVERT(B69,"ft","m")</f>
        <v>1.2192000000000001</v>
      </c>
      <c r="C78" s="148">
        <f t="shared" si="35"/>
        <v>2.4384000000000001</v>
      </c>
      <c r="D78" s="148">
        <f t="shared" si="35"/>
        <v>0.62084616749999988</v>
      </c>
      <c r="E78" s="130">
        <f t="shared" si="35"/>
        <v>0.40639999999999998</v>
      </c>
      <c r="F78" s="130">
        <f t="shared" si="35"/>
        <v>0.81279999999999997</v>
      </c>
      <c r="G78" s="138">
        <f t="shared" ref="G78:G83" si="36">CONVERT(G69,"ft^2","m^2")</f>
        <v>3.4683801600000002</v>
      </c>
      <c r="H78" s="138">
        <f t="shared" ref="H78:H83" si="37">CONVERT(H69,"ft","m")</f>
        <v>7.9654400000000001</v>
      </c>
      <c r="I78" s="132">
        <f>I69*25.4</f>
        <v>812.8</v>
      </c>
      <c r="J78" s="148">
        <f t="shared" ref="J78:J83" si="38">CONVERT(J69,"ft^2","m^2")</f>
        <v>0.51886845859583774</v>
      </c>
      <c r="K78" s="149">
        <f t="shared" ref="K78:K83" si="39">K69</f>
        <v>0.78628621404151067</v>
      </c>
      <c r="L78" s="138">
        <f t="shared" ref="L78:M83" si="40">CONVERT(L69,"yd^3","m^3")</f>
        <v>2.01364242432</v>
      </c>
      <c r="M78" s="138">
        <f t="shared" si="40"/>
        <v>1.8457118826591741</v>
      </c>
      <c r="N78" s="148">
        <f>CONVERT(N69,"in","m")</f>
        <v>0.62084616749999977</v>
      </c>
      <c r="O78" s="148">
        <f>CONVERT(O69,"in","m")</f>
        <v>1.5860461674999997</v>
      </c>
      <c r="P78" s="148">
        <f>CONVERT(E111,"in","m")</f>
        <v>0.30480000000000002</v>
      </c>
      <c r="Q78" s="148">
        <f>CONVERT(Q69,"in","m")</f>
        <v>1.2699999999999998</v>
      </c>
      <c r="R78" s="138">
        <f t="shared" ref="R78:R83" si="41">CONVERT(R69,"ft^3","l")</f>
        <v>952.57217738753297</v>
      </c>
      <c r="S78" s="138"/>
      <c r="T78" s="138"/>
      <c r="U78" s="22"/>
      <c r="V78" s="14"/>
      <c r="W78" s="78"/>
      <c r="X78" s="132">
        <f>ROUND(I78,0)</f>
        <v>813</v>
      </c>
      <c r="Y78" s="22" t="s">
        <v>133</v>
      </c>
      <c r="Z78" s="87">
        <f t="shared" ref="Z78:Z83" si="42">ROUND(R78,0)</f>
        <v>953</v>
      </c>
      <c r="AA78" s="22" t="s">
        <v>132</v>
      </c>
      <c r="AB78" s="22" t="str">
        <f t="shared" ref="AB78:AB83" si="43">X78&amp;" "&amp;Y78</f>
        <v>813 mm</v>
      </c>
      <c r="AC78" s="14" t="str">
        <f t="shared" ref="AC78:AC83" si="44">Z78&amp;" "&amp;AA78</f>
        <v>953 L/s</v>
      </c>
    </row>
    <row r="79" spans="1:50">
      <c r="A79" s="78" t="str">
        <f>A70</f>
        <v>HDS6X12</v>
      </c>
      <c r="B79" s="148">
        <f t="shared" si="35"/>
        <v>1.8288</v>
      </c>
      <c r="C79" s="148">
        <f t="shared" si="35"/>
        <v>3.6576</v>
      </c>
      <c r="D79" s="148">
        <f t="shared" si="35"/>
        <v>0.98962082999999967</v>
      </c>
      <c r="E79" s="130">
        <f t="shared" si="35"/>
        <v>0.53339999999999999</v>
      </c>
      <c r="F79" s="130">
        <f t="shared" si="35"/>
        <v>1.0668</v>
      </c>
      <c r="G79" s="138">
        <f t="shared" si="36"/>
        <v>7.6645007999999999</v>
      </c>
      <c r="H79" s="138">
        <f t="shared" si="37"/>
        <v>17.602199999999996</v>
      </c>
      <c r="I79" s="132">
        <f t="shared" ref="I79:I83" si="45">I70*25.4</f>
        <v>1066.8</v>
      </c>
      <c r="J79" s="148">
        <f t="shared" si="38"/>
        <v>0.893831993127986</v>
      </c>
      <c r="K79" s="149">
        <f t="shared" si="39"/>
        <v>0.8334003895823594</v>
      </c>
      <c r="L79" s="138">
        <f t="shared" si="40"/>
        <v>6.0952012289280004</v>
      </c>
      <c r="M79" s="138">
        <f t="shared" si="40"/>
        <v>6.619592415911268</v>
      </c>
      <c r="N79" s="148">
        <f t="shared" ref="N79:Q83" si="46">CONVERT(N70,"in","m")</f>
        <v>0.98962082999999967</v>
      </c>
      <c r="O79" s="148">
        <f t="shared" si="46"/>
        <v>2.2088208299999996</v>
      </c>
      <c r="P79" s="148">
        <f>CONVERT(E112,"in","m")</f>
        <v>0.35560000000000003</v>
      </c>
      <c r="Q79" s="148">
        <f t="shared" si="46"/>
        <v>1.5748</v>
      </c>
      <c r="R79" s="138">
        <f t="shared" si="41"/>
        <v>1879.9494546232286</v>
      </c>
      <c r="S79" s="138"/>
      <c r="T79" s="138"/>
      <c r="U79" s="22"/>
      <c r="V79" s="14"/>
      <c r="W79" s="78"/>
      <c r="X79" s="132">
        <f t="shared" ref="X79:X82" si="47">ROUND(I79,0)</f>
        <v>1067</v>
      </c>
      <c r="Y79" s="22" t="s">
        <v>133</v>
      </c>
      <c r="Z79" s="87">
        <f t="shared" si="42"/>
        <v>1880</v>
      </c>
      <c r="AA79" s="22" t="s">
        <v>132</v>
      </c>
      <c r="AB79" s="22" t="str">
        <f t="shared" si="43"/>
        <v>1067 mm</v>
      </c>
      <c r="AC79" s="14" t="str">
        <f t="shared" si="44"/>
        <v>1880 L/s</v>
      </c>
    </row>
    <row r="80" spans="1:50">
      <c r="A80" s="78" t="str">
        <f t="shared" ref="A80:A83" si="48">A71</f>
        <v>HDS8X14</v>
      </c>
      <c r="B80" s="148">
        <f t="shared" si="35"/>
        <v>2.4384000000000001</v>
      </c>
      <c r="C80" s="148">
        <f t="shared" si="35"/>
        <v>4.2671999999999999</v>
      </c>
      <c r="D80" s="148">
        <f t="shared" si="35"/>
        <v>1.0949850192857145</v>
      </c>
      <c r="E80" s="130">
        <f t="shared" si="35"/>
        <v>0.60960000000000003</v>
      </c>
      <c r="F80" s="130">
        <f t="shared" si="35"/>
        <v>1.2192000000000001</v>
      </c>
      <c r="G80" s="138">
        <f t="shared" si="36"/>
        <v>11.891589120000001</v>
      </c>
      <c r="H80" s="138">
        <f t="shared" si="37"/>
        <v>27.310079999999996</v>
      </c>
      <c r="I80" s="132">
        <f t="shared" si="45"/>
        <v>1219.1999999999998</v>
      </c>
      <c r="J80" s="148">
        <f t="shared" si="38"/>
        <v>1.1674540318406348</v>
      </c>
      <c r="K80" s="149">
        <f t="shared" si="39"/>
        <v>0.85975032796474138</v>
      </c>
      <c r="L80" s="138">
        <f t="shared" si="40"/>
        <v>10.873669091328001</v>
      </c>
      <c r="M80" s="138">
        <f t="shared" si="40"/>
        <v>11.393472949163368</v>
      </c>
      <c r="N80" s="148">
        <f t="shared" si="46"/>
        <v>1.0949850192857145</v>
      </c>
      <c r="O80" s="148">
        <f t="shared" si="46"/>
        <v>2.4665850192857142</v>
      </c>
      <c r="P80" s="148">
        <f>CONVERT(E113,"in","m")</f>
        <v>0.35560000000000003</v>
      </c>
      <c r="Q80" s="148">
        <f t="shared" si="46"/>
        <v>1.7272000000000001</v>
      </c>
      <c r="R80" s="138">
        <f t="shared" si="41"/>
        <v>2624.9802499928242</v>
      </c>
      <c r="S80" s="138"/>
      <c r="T80" s="138"/>
      <c r="U80" s="22"/>
      <c r="V80" s="14"/>
      <c r="W80" s="78"/>
      <c r="X80" s="132">
        <f t="shared" si="47"/>
        <v>1219</v>
      </c>
      <c r="Y80" s="22" t="s">
        <v>133</v>
      </c>
      <c r="Z80" s="87">
        <f t="shared" si="42"/>
        <v>2625</v>
      </c>
      <c r="AA80" s="22" t="s">
        <v>132</v>
      </c>
      <c r="AB80" s="22" t="str">
        <f t="shared" si="43"/>
        <v>1219 mm</v>
      </c>
      <c r="AC80" s="14" t="str">
        <f t="shared" si="44"/>
        <v>2625 L/s</v>
      </c>
    </row>
    <row r="81" spans="1:50">
      <c r="A81" s="78" t="str">
        <f t="shared" si="48"/>
        <v>HDS10X16</v>
      </c>
      <c r="B81" s="148">
        <f t="shared" si="35"/>
        <v>3.048</v>
      </c>
      <c r="C81" s="148">
        <f t="shared" si="35"/>
        <v>4.8768000000000002</v>
      </c>
      <c r="D81" s="148">
        <f t="shared" si="35"/>
        <v>1.1518816814999999</v>
      </c>
      <c r="E81" s="130">
        <f t="shared" si="35"/>
        <v>0.68579999999999997</v>
      </c>
      <c r="F81" s="130">
        <f t="shared" si="35"/>
        <v>1.3715999999999999</v>
      </c>
      <c r="G81" s="138">
        <f t="shared" si="36"/>
        <v>16.954804799999998</v>
      </c>
      <c r="H81" s="138">
        <f t="shared" si="37"/>
        <v>38.938199999999995</v>
      </c>
      <c r="I81" s="132">
        <f t="shared" si="45"/>
        <v>1371.6</v>
      </c>
      <c r="J81" s="148">
        <f t="shared" si="38"/>
        <v>1.4775590090483033</v>
      </c>
      <c r="K81" s="149">
        <f t="shared" si="39"/>
        <v>0.87550440071390745</v>
      </c>
      <c r="L81" s="138">
        <f t="shared" si="40"/>
        <v>17.521048828800001</v>
      </c>
      <c r="M81" s="138">
        <f t="shared" si="40"/>
        <v>17.122129589065882</v>
      </c>
      <c r="N81" s="148">
        <f t="shared" si="46"/>
        <v>1.1518816814999999</v>
      </c>
      <c r="O81" s="148">
        <f t="shared" si="46"/>
        <v>2.6758816814999999</v>
      </c>
      <c r="P81" s="148">
        <f>CONVERT(E114,"in","m")</f>
        <v>0.40639999999999998</v>
      </c>
      <c r="Q81" s="148">
        <f t="shared" si="46"/>
        <v>1.9303999999999999</v>
      </c>
      <c r="R81" s="138">
        <f t="shared" si="41"/>
        <v>3523.7683161399714</v>
      </c>
      <c r="S81" s="138"/>
      <c r="T81" s="138"/>
      <c r="U81" s="22"/>
      <c r="V81" s="14"/>
      <c r="W81" s="78"/>
      <c r="X81" s="132">
        <f t="shared" si="47"/>
        <v>1372</v>
      </c>
      <c r="Y81" s="22" t="s">
        <v>133</v>
      </c>
      <c r="Z81" s="87">
        <f t="shared" si="42"/>
        <v>3524</v>
      </c>
      <c r="AA81" s="22" t="s">
        <v>132</v>
      </c>
      <c r="AB81" s="22" t="str">
        <f t="shared" si="43"/>
        <v>1372 mm</v>
      </c>
      <c r="AC81" s="14" t="str">
        <f t="shared" si="44"/>
        <v>3524 L/s</v>
      </c>
      <c r="AD81" s="53"/>
      <c r="AE81" s="53"/>
      <c r="AF81" s="53"/>
      <c r="AG81" s="53"/>
      <c r="AH81" s="53"/>
      <c r="AI81" s="53"/>
      <c r="AJ81" s="53"/>
      <c r="AK81" s="53"/>
      <c r="AL81" s="53"/>
      <c r="AM81" s="53"/>
      <c r="AN81" s="53"/>
      <c r="AO81" s="53"/>
      <c r="AP81" s="53"/>
      <c r="AQ81" s="53"/>
      <c r="AR81" s="53"/>
      <c r="AS81" s="53"/>
      <c r="AT81" s="53"/>
      <c r="AU81" s="53"/>
      <c r="AV81" s="53"/>
      <c r="AW81" s="53"/>
      <c r="AX81" s="53"/>
    </row>
    <row r="82" spans="1:50">
      <c r="A82" s="78" t="str">
        <f t="shared" si="48"/>
        <v>HDS12X20</v>
      </c>
      <c r="B82" s="148">
        <f t="shared" si="35"/>
        <v>3.6576</v>
      </c>
      <c r="C82" s="148">
        <f t="shared" si="35"/>
        <v>6.0960000000000001</v>
      </c>
      <c r="D82" s="148">
        <f t="shared" si="35"/>
        <v>1.196134641</v>
      </c>
      <c r="E82" s="130">
        <f t="shared" si="35"/>
        <v>0.76200000000000001</v>
      </c>
      <c r="F82" s="130">
        <f t="shared" si="35"/>
        <v>1.524</v>
      </c>
      <c r="G82" s="138">
        <f t="shared" si="36"/>
        <v>25.083820800000002</v>
      </c>
      <c r="H82" s="138">
        <f t="shared" si="37"/>
        <v>57.607199999999999</v>
      </c>
      <c r="I82" s="132">
        <f t="shared" si="45"/>
        <v>1524</v>
      </c>
      <c r="J82" s="148">
        <f t="shared" si="38"/>
        <v>1.8241469247509918</v>
      </c>
      <c r="K82" s="149">
        <f t="shared" si="39"/>
        <v>0.89611135404795661</v>
      </c>
      <c r="L82" s="138">
        <f t="shared" si="40"/>
        <v>29.732688921599998</v>
      </c>
      <c r="M82" s="138">
        <f t="shared" si="40"/>
        <v>26.669890655570075</v>
      </c>
      <c r="N82" s="148">
        <f t="shared" si="46"/>
        <v>1.196134641</v>
      </c>
      <c r="O82" s="148">
        <f t="shared" si="46"/>
        <v>2.8725346410000001</v>
      </c>
      <c r="P82" s="148">
        <f>CONVERT(E115,"in","m")</f>
        <v>0.40639999999999998</v>
      </c>
      <c r="Q82" s="148">
        <f t="shared" si="46"/>
        <v>2.0828000000000002</v>
      </c>
      <c r="R82" s="138">
        <f t="shared" si="41"/>
        <v>4585.6517801393338</v>
      </c>
      <c r="S82" s="138"/>
      <c r="T82" s="138"/>
      <c r="U82" s="22"/>
      <c r="V82" s="14"/>
      <c r="W82" s="78"/>
      <c r="X82" s="132">
        <f t="shared" si="47"/>
        <v>1524</v>
      </c>
      <c r="Y82" s="22" t="s">
        <v>133</v>
      </c>
      <c r="Z82" s="87">
        <f t="shared" si="42"/>
        <v>4586</v>
      </c>
      <c r="AA82" s="22" t="s">
        <v>132</v>
      </c>
      <c r="AB82" s="22" t="str">
        <f t="shared" si="43"/>
        <v>1524 mm</v>
      </c>
      <c r="AC82" s="14" t="str">
        <f t="shared" si="44"/>
        <v>4586 L/s</v>
      </c>
    </row>
    <row r="83" spans="1:50" s="53" customFormat="1">
      <c r="A83" s="83" t="str">
        <f t="shared" si="48"/>
        <v>HDS5X15</v>
      </c>
      <c r="B83" s="150">
        <f t="shared" si="35"/>
        <v>1.524</v>
      </c>
      <c r="C83" s="150">
        <f t="shared" si="35"/>
        <v>4.5720000000000001</v>
      </c>
      <c r="D83" s="150">
        <f t="shared" si="35"/>
        <v>1.0014216192000001</v>
      </c>
      <c r="E83" s="151">
        <f t="shared" si="35"/>
        <v>0.48259999999999997</v>
      </c>
      <c r="F83" s="151">
        <f t="shared" si="35"/>
        <v>0.96519999999999995</v>
      </c>
      <c r="G83" s="152">
        <f t="shared" si="36"/>
        <v>7.7032103999999997</v>
      </c>
      <c r="H83" s="152">
        <f t="shared" si="37"/>
        <v>17.691099999999999</v>
      </c>
      <c r="I83" s="133">
        <f t="shared" si="45"/>
        <v>965.19999999999993</v>
      </c>
      <c r="J83" s="150">
        <f t="shared" si="38"/>
        <v>0.7316855998167866</v>
      </c>
      <c r="K83" s="153">
        <f t="shared" si="39"/>
        <v>0.86430785499570284</v>
      </c>
      <c r="L83" s="152">
        <f t="shared" si="40"/>
        <v>6.0153634531200009</v>
      </c>
      <c r="M83" s="152">
        <f t="shared" si="40"/>
        <v>6.9776334559051785</v>
      </c>
      <c r="N83" s="150">
        <f t="shared" si="46"/>
        <v>1.0014216192000001</v>
      </c>
      <c r="O83" s="150">
        <f t="shared" si="46"/>
        <v>2.1190216192000002</v>
      </c>
      <c r="P83" s="150">
        <f t="shared" si="46"/>
        <v>0.35560000000000003</v>
      </c>
      <c r="Q83" s="150">
        <f t="shared" si="46"/>
        <v>1.4731999999999998</v>
      </c>
      <c r="R83" s="152">
        <f t="shared" si="41"/>
        <v>1463.800658804231</v>
      </c>
      <c r="S83" s="152"/>
      <c r="T83" s="152"/>
      <c r="U83" s="16"/>
      <c r="V83" s="19"/>
      <c r="W83" s="83"/>
      <c r="X83" s="133">
        <f t="shared" ref="X83" si="49">ROUND(I83,0)</f>
        <v>965</v>
      </c>
      <c r="Y83" s="16" t="s">
        <v>133</v>
      </c>
      <c r="Z83" s="99">
        <f t="shared" si="42"/>
        <v>1464</v>
      </c>
      <c r="AA83" s="16" t="s">
        <v>132</v>
      </c>
      <c r="AB83" s="16" t="str">
        <f t="shared" si="43"/>
        <v>965 mm</v>
      </c>
      <c r="AC83" s="19" t="str">
        <f t="shared" si="44"/>
        <v>1464 L/s</v>
      </c>
      <c r="AD83"/>
      <c r="AE83"/>
      <c r="AF83"/>
      <c r="AG83"/>
      <c r="AH83"/>
      <c r="AI83"/>
      <c r="AJ83"/>
      <c r="AK83"/>
      <c r="AL83"/>
      <c r="AM83"/>
      <c r="AN83"/>
      <c r="AO83"/>
      <c r="AP83"/>
      <c r="AQ83"/>
      <c r="AR83"/>
      <c r="AS83"/>
      <c r="AT83"/>
      <c r="AU83"/>
      <c r="AV83"/>
      <c r="AW83"/>
      <c r="AX83"/>
    </row>
    <row r="84" spans="1:50">
      <c r="A84" t="s">
        <v>207</v>
      </c>
    </row>
    <row r="85" spans="1:50">
      <c r="A85" s="68"/>
      <c r="B85" s="69"/>
      <c r="C85" s="69"/>
      <c r="D85" s="69"/>
      <c r="E85" s="70"/>
      <c r="F85" s="70"/>
      <c r="G85" s="69"/>
      <c r="H85" s="69"/>
      <c r="I85" s="70"/>
      <c r="J85" s="70"/>
      <c r="K85" s="70"/>
      <c r="L85" s="70"/>
      <c r="M85" s="70"/>
      <c r="N85" s="67"/>
      <c r="O85" s="70"/>
      <c r="P85" s="70"/>
      <c r="Q85" s="70"/>
      <c r="R85" s="70"/>
      <c r="S85" s="70"/>
      <c r="T85" s="70"/>
      <c r="U85" s="67"/>
      <c r="V85" s="69"/>
    </row>
    <row r="86" spans="1:50">
      <c r="A86" s="53"/>
      <c r="B86" s="53"/>
      <c r="C86" s="53"/>
      <c r="E86" s="23" t="s">
        <v>180</v>
      </c>
      <c r="F86" s="23" t="s">
        <v>181</v>
      </c>
      <c r="G86" s="53"/>
      <c r="I86" s="23" t="s">
        <v>179</v>
      </c>
      <c r="J86" s="23" t="s">
        <v>138</v>
      </c>
      <c r="K86" s="23" t="s">
        <v>182</v>
      </c>
      <c r="L86" s="23" t="s">
        <v>183</v>
      </c>
      <c r="M86" s="23" t="s">
        <v>184</v>
      </c>
      <c r="O86" s="23" t="s">
        <v>185</v>
      </c>
      <c r="P86" s="23" t="s">
        <v>186</v>
      </c>
      <c r="Q86" s="23" t="s">
        <v>187</v>
      </c>
      <c r="R86" s="23" t="s">
        <v>188</v>
      </c>
      <c r="S86" s="23" t="s">
        <v>189</v>
      </c>
      <c r="T86" s="23" t="s">
        <v>190</v>
      </c>
      <c r="U86" s="23" t="s">
        <v>191</v>
      </c>
      <c r="W86" s="67"/>
    </row>
    <row r="87" spans="1:50">
      <c r="A87" s="72" t="s">
        <v>192</v>
      </c>
      <c r="B87" s="23" t="s">
        <v>47</v>
      </c>
      <c r="C87" s="23" t="s">
        <v>48</v>
      </c>
      <c r="D87" s="23" t="s">
        <v>49</v>
      </c>
      <c r="E87" s="23" t="s">
        <v>194</v>
      </c>
      <c r="F87" s="23" t="s">
        <v>195</v>
      </c>
      <c r="G87" s="23" t="s">
        <v>50</v>
      </c>
      <c r="H87" s="23" t="s">
        <v>51</v>
      </c>
      <c r="I87" s="23" t="s">
        <v>138</v>
      </c>
      <c r="J87" s="23" t="s">
        <v>196</v>
      </c>
      <c r="K87" s="23" t="s">
        <v>197</v>
      </c>
      <c r="L87" s="23" t="s">
        <v>198</v>
      </c>
      <c r="M87" s="23" t="s">
        <v>198</v>
      </c>
      <c r="N87" s="23" t="s">
        <v>193</v>
      </c>
      <c r="O87" s="23" t="s">
        <v>199</v>
      </c>
      <c r="P87" s="23" t="s">
        <v>195</v>
      </c>
      <c r="Q87" s="23" t="s">
        <v>200</v>
      </c>
      <c r="R87" s="23" t="s">
        <v>201</v>
      </c>
      <c r="S87" s="23" t="s">
        <v>202</v>
      </c>
      <c r="T87" s="23" t="s">
        <v>203</v>
      </c>
      <c r="U87" s="23" t="s">
        <v>202</v>
      </c>
      <c r="W87" s="67"/>
    </row>
    <row r="88" spans="1:50">
      <c r="A88" s="72" t="s">
        <v>204</v>
      </c>
      <c r="B88" s="23" t="s">
        <v>52</v>
      </c>
      <c r="C88" s="23" t="s">
        <v>52</v>
      </c>
      <c r="D88" s="23" t="s">
        <v>52</v>
      </c>
      <c r="E88" s="23" t="s">
        <v>52</v>
      </c>
      <c r="F88" s="23" t="s">
        <v>52</v>
      </c>
      <c r="G88" s="23" t="s">
        <v>53</v>
      </c>
      <c r="H88" s="23" t="s">
        <v>54</v>
      </c>
      <c r="I88" s="23" t="s">
        <v>55</v>
      </c>
      <c r="J88" s="23" t="s">
        <v>53</v>
      </c>
      <c r="K88" s="23" t="s">
        <v>2</v>
      </c>
      <c r="L88" s="23" t="s">
        <v>56</v>
      </c>
      <c r="M88" s="23" t="s">
        <v>56</v>
      </c>
      <c r="N88" s="23" t="s">
        <v>54</v>
      </c>
      <c r="O88" s="23" t="s">
        <v>205</v>
      </c>
      <c r="P88" s="23" t="s">
        <v>205</v>
      </c>
      <c r="Q88" s="23" t="s">
        <v>205</v>
      </c>
      <c r="R88" s="23" t="s">
        <v>55</v>
      </c>
      <c r="S88" s="23" t="s">
        <v>107</v>
      </c>
      <c r="T88" s="23" t="s">
        <v>107</v>
      </c>
      <c r="U88" s="23" t="s">
        <v>107</v>
      </c>
      <c r="W88" s="71"/>
    </row>
    <row r="89" spans="1:50">
      <c r="A89" s="73" t="s">
        <v>34</v>
      </c>
      <c r="B89" s="8">
        <v>4</v>
      </c>
      <c r="C89" s="8">
        <v>8</v>
      </c>
      <c r="D89" s="42">
        <v>3</v>
      </c>
      <c r="E89" s="8">
        <f t="shared" ref="E89:E93" si="50">(I89/2)/12</f>
        <v>1.25</v>
      </c>
      <c r="F89" s="8">
        <f t="shared" ref="F89:F93" si="51">I89/12</f>
        <v>2.5</v>
      </c>
      <c r="G89" s="8">
        <f t="shared" ref="G89:G93" si="52">B89*(C89-E89)+B89*F89</f>
        <v>37</v>
      </c>
      <c r="H89" s="8">
        <f t="shared" ref="H89:H93" si="53">G89*0.7</f>
        <v>25.9</v>
      </c>
      <c r="I89" s="8">
        <v>30</v>
      </c>
      <c r="J89" s="42">
        <f t="shared" ref="J89:J93" si="54">(PI()*(I89/2)^2)/144</f>
        <v>4.908738521234052</v>
      </c>
      <c r="K89" s="43">
        <f t="shared" ref="K89:K93" si="55">1-J89/H89</f>
        <v>0.81047341616856938</v>
      </c>
      <c r="L89" s="44">
        <f t="shared" ref="L89:L93" si="56">(B89*(C89-E89)*F89)/27</f>
        <v>2.5</v>
      </c>
      <c r="M89" s="44">
        <f>(B89*C89*D89)/27</f>
        <v>3.5555555555555554</v>
      </c>
      <c r="N89" s="8">
        <f t="shared" ref="N89:N93" si="57">B89*C89</f>
        <v>32</v>
      </c>
      <c r="O89" s="44">
        <f t="shared" ref="O89:O93" si="58">D89*12</f>
        <v>36</v>
      </c>
      <c r="P89" s="8">
        <v>84</v>
      </c>
      <c r="Q89" s="8">
        <v>12</v>
      </c>
      <c r="R89" s="44">
        <f>P89+Q89-O89</f>
        <v>60</v>
      </c>
      <c r="S89" s="42">
        <f>0.65*J89*SQRT(2*32.2*(I89/12)/2)</f>
        <v>28.627353149668522</v>
      </c>
      <c r="T89" s="8">
        <v>22</v>
      </c>
      <c r="U89" s="74">
        <f t="shared" ref="U89:U93" si="59">0.3342*N89</f>
        <v>10.6944</v>
      </c>
      <c r="W89" s="71"/>
    </row>
    <row r="90" spans="1:50">
      <c r="A90" s="73" t="s">
        <v>29</v>
      </c>
      <c r="B90" s="8">
        <v>6</v>
      </c>
      <c r="C90" s="8">
        <v>12</v>
      </c>
      <c r="D90" s="42">
        <v>3</v>
      </c>
      <c r="E90" s="8">
        <f t="shared" si="50"/>
        <v>1.75</v>
      </c>
      <c r="F90" s="8">
        <f t="shared" si="51"/>
        <v>3.5</v>
      </c>
      <c r="G90" s="8">
        <f t="shared" si="52"/>
        <v>82.5</v>
      </c>
      <c r="H90" s="8">
        <f t="shared" si="53"/>
        <v>57.749999999999993</v>
      </c>
      <c r="I90" s="8">
        <v>42</v>
      </c>
      <c r="J90" s="42">
        <f t="shared" si="54"/>
        <v>9.6211275016187408</v>
      </c>
      <c r="K90" s="43">
        <f t="shared" si="55"/>
        <v>0.8334003895823594</v>
      </c>
      <c r="L90" s="44">
        <f t="shared" si="56"/>
        <v>7.9722222222222223</v>
      </c>
      <c r="M90" s="44">
        <f>(B90*C90*D90)/27</f>
        <v>8</v>
      </c>
      <c r="N90" s="8">
        <f t="shared" si="57"/>
        <v>72</v>
      </c>
      <c r="O90" s="44">
        <f t="shared" si="58"/>
        <v>36</v>
      </c>
      <c r="P90" s="8">
        <v>84</v>
      </c>
      <c r="Q90" s="8">
        <v>14</v>
      </c>
      <c r="R90" s="44">
        <f>P90+Q90-O90</f>
        <v>62</v>
      </c>
      <c r="S90" s="42">
        <f>0.65*J90*SQRT(2*32.2*(I90/12)/2)</f>
        <v>66.389788443263555</v>
      </c>
      <c r="T90" s="8">
        <v>46</v>
      </c>
      <c r="U90" s="74">
        <f t="shared" si="59"/>
        <v>24.0624</v>
      </c>
      <c r="W90" s="71"/>
    </row>
    <row r="91" spans="1:50">
      <c r="A91" s="73" t="s">
        <v>30</v>
      </c>
      <c r="B91" s="8">
        <v>8</v>
      </c>
      <c r="C91" s="8">
        <v>14</v>
      </c>
      <c r="D91" s="42">
        <f>40/12</f>
        <v>3.3333333333333335</v>
      </c>
      <c r="E91" s="8">
        <f t="shared" si="50"/>
        <v>2</v>
      </c>
      <c r="F91" s="8">
        <f t="shared" si="51"/>
        <v>4</v>
      </c>
      <c r="G91" s="8">
        <f t="shared" si="52"/>
        <v>128</v>
      </c>
      <c r="H91" s="8">
        <f t="shared" si="53"/>
        <v>89.6</v>
      </c>
      <c r="I91" s="8">
        <v>48</v>
      </c>
      <c r="J91" s="42">
        <f t="shared" si="54"/>
        <v>12.566370614359172</v>
      </c>
      <c r="K91" s="43">
        <f t="shared" si="55"/>
        <v>0.85975032796474138</v>
      </c>
      <c r="L91" s="44">
        <f t="shared" si="56"/>
        <v>14.222222222222221</v>
      </c>
      <c r="M91" s="44">
        <f>(B91*C91*D91)/27</f>
        <v>13.827160493827162</v>
      </c>
      <c r="N91" s="8">
        <f t="shared" si="57"/>
        <v>112</v>
      </c>
      <c r="O91" s="44">
        <f t="shared" si="58"/>
        <v>40</v>
      </c>
      <c r="P91" s="8">
        <v>100</v>
      </c>
      <c r="Q91" s="8">
        <v>14</v>
      </c>
      <c r="R91" s="44">
        <f>P91+Q91-O91</f>
        <v>74</v>
      </c>
      <c r="S91" s="42">
        <f>0.65*J91*SQRT(2*32.2*(I91/12)/2)</f>
        <v>92.70030267898639</v>
      </c>
      <c r="T91" s="8">
        <v>65</v>
      </c>
      <c r="U91" s="74">
        <f t="shared" si="59"/>
        <v>37.430399999999999</v>
      </c>
      <c r="W91" s="71"/>
    </row>
    <row r="92" spans="1:50">
      <c r="A92" s="73" t="s">
        <v>31</v>
      </c>
      <c r="B92" s="8">
        <v>10</v>
      </c>
      <c r="C92" s="8">
        <v>16</v>
      </c>
      <c r="D92" s="42">
        <f>46/12</f>
        <v>3.8333333333333335</v>
      </c>
      <c r="E92" s="8">
        <f t="shared" si="50"/>
        <v>2.25</v>
      </c>
      <c r="F92" s="8">
        <f t="shared" si="51"/>
        <v>4.5</v>
      </c>
      <c r="G92" s="8">
        <f t="shared" si="52"/>
        <v>182.5</v>
      </c>
      <c r="H92" s="8">
        <f t="shared" si="53"/>
        <v>127.74999999999999</v>
      </c>
      <c r="I92" s="8">
        <v>54</v>
      </c>
      <c r="J92" s="42">
        <f t="shared" si="54"/>
        <v>15.904312808798327</v>
      </c>
      <c r="K92" s="43">
        <f t="shared" si="55"/>
        <v>0.87550440071390745</v>
      </c>
      <c r="L92" s="44">
        <f t="shared" si="56"/>
        <v>22.916666666666668</v>
      </c>
      <c r="M92" s="44">
        <f>(B92*C92*D92)/27</f>
        <v>22.716049382716051</v>
      </c>
      <c r="N92" s="8">
        <f t="shared" si="57"/>
        <v>160</v>
      </c>
      <c r="O92" s="44">
        <f t="shared" si="58"/>
        <v>46</v>
      </c>
      <c r="P92" s="8">
        <v>125</v>
      </c>
      <c r="Q92" s="8">
        <v>16</v>
      </c>
      <c r="R92" s="44">
        <f>P92+Q92-O92</f>
        <v>95</v>
      </c>
      <c r="S92" s="42">
        <f>0.65*J92*SQRT(2*32.2*(I92/12)/2)</f>
        <v>124.44070368822413</v>
      </c>
      <c r="T92" s="8">
        <v>87</v>
      </c>
      <c r="U92" s="74">
        <f t="shared" si="59"/>
        <v>53.472000000000001</v>
      </c>
      <c r="W92" s="71"/>
    </row>
    <row r="93" spans="1:50">
      <c r="A93" s="73" t="s">
        <v>206</v>
      </c>
      <c r="B93" s="8">
        <v>12</v>
      </c>
      <c r="C93" s="8">
        <v>24</v>
      </c>
      <c r="D93" s="42">
        <v>4</v>
      </c>
      <c r="E93" s="8">
        <f t="shared" si="50"/>
        <v>2.5</v>
      </c>
      <c r="F93" s="8">
        <f t="shared" si="51"/>
        <v>5</v>
      </c>
      <c r="G93" s="8">
        <f t="shared" si="52"/>
        <v>318</v>
      </c>
      <c r="H93" s="8">
        <f t="shared" si="53"/>
        <v>222.6</v>
      </c>
      <c r="I93" s="8">
        <v>60</v>
      </c>
      <c r="J93" s="42">
        <f t="shared" si="54"/>
        <v>19.634954084936208</v>
      </c>
      <c r="K93" s="43">
        <f t="shared" si="55"/>
        <v>0.91179265909732166</v>
      </c>
      <c r="L93" s="44">
        <f t="shared" si="56"/>
        <v>47.777777777777779</v>
      </c>
      <c r="M93" s="44">
        <f>(B93*C93*D93)/27</f>
        <v>42.666666666666664</v>
      </c>
      <c r="N93" s="8">
        <f t="shared" si="57"/>
        <v>288</v>
      </c>
      <c r="O93" s="44">
        <f t="shared" si="58"/>
        <v>48</v>
      </c>
      <c r="P93" s="8">
        <v>125</v>
      </c>
      <c r="Q93" s="8">
        <v>16</v>
      </c>
      <c r="R93" s="44">
        <f>P93+Q93-O93</f>
        <v>93</v>
      </c>
      <c r="S93" s="42">
        <f>0.65*J93*SQRT(2*32.2*(I93/12)/2)</f>
        <v>161.94076431642145</v>
      </c>
      <c r="T93" s="8">
        <v>113</v>
      </c>
      <c r="U93" s="74">
        <f t="shared" si="59"/>
        <v>96.249600000000001</v>
      </c>
    </row>
    <row r="96" spans="1:50">
      <c r="B96" t="s">
        <v>136</v>
      </c>
    </row>
    <row r="97" spans="2:21">
      <c r="B97"/>
    </row>
    <row r="98" spans="2:21">
      <c r="B98" t="s">
        <v>139</v>
      </c>
      <c r="E98" s="35" t="s">
        <v>144</v>
      </c>
    </row>
    <row r="99" spans="2:21" ht="45" customHeight="1">
      <c r="B99"/>
      <c r="E99" s="64" t="s">
        <v>145</v>
      </c>
      <c r="F99" s="64" t="s">
        <v>138</v>
      </c>
      <c r="G99" s="65" t="s">
        <v>60</v>
      </c>
      <c r="H99" s="65" t="s">
        <v>147</v>
      </c>
      <c r="I99" s="65" t="s">
        <v>137</v>
      </c>
      <c r="J99" s="65" t="s">
        <v>148</v>
      </c>
      <c r="K99" s="65" t="s">
        <v>149</v>
      </c>
      <c r="L99" s="65" t="s">
        <v>150</v>
      </c>
      <c r="M99" t="s">
        <v>151</v>
      </c>
      <c r="O99" s="66" t="s">
        <v>7</v>
      </c>
      <c r="P99" s="283" t="s">
        <v>154</v>
      </c>
      <c r="Q99" s="283"/>
      <c r="S99" t="s">
        <v>158</v>
      </c>
    </row>
    <row r="100" spans="2:21">
      <c r="B100" t="s">
        <v>140</v>
      </c>
      <c r="E100" s="35">
        <f>IF($D$53=1,Project!$C$42,Project!$C$42/1000)</f>
        <v>92.70030267898639</v>
      </c>
      <c r="F100" s="35">
        <f>IF($D$53=1,Project!$C$41,Project!$C$41/1000)</f>
        <v>48</v>
      </c>
      <c r="G100" s="17">
        <f>IF($D$53=1,((PI()*(F100/12)^2)/4),((PI()*(F100^2)/4)))</f>
        <v>12.566370614359172</v>
      </c>
      <c r="H100" s="17">
        <f>IF(D53=1,32.2,9.81)</f>
        <v>32.200000000000003</v>
      </c>
      <c r="I100">
        <f>((E100/(0.65*G100))^2)/(2*H100)</f>
        <v>2</v>
      </c>
      <c r="J100">
        <f>IF($D$53=1,(F100/12/2),(F100/2))</f>
        <v>2</v>
      </c>
      <c r="K100" s="17">
        <f>I100+J100</f>
        <v>4</v>
      </c>
      <c r="L100">
        <f>IF($D$53=1,0.3,0.1)</f>
        <v>0.3</v>
      </c>
      <c r="M100" s="17">
        <f>K100+L100</f>
        <v>4.3</v>
      </c>
      <c r="O100" s="53"/>
      <c r="P100" t="s">
        <v>146</v>
      </c>
      <c r="Q100" t="s">
        <v>153</v>
      </c>
    </row>
    <row r="101" spans="2:21">
      <c r="B101" t="s">
        <v>141</v>
      </c>
      <c r="D101" s="24"/>
      <c r="E101" s="17"/>
      <c r="O101" s="53" t="s">
        <v>117</v>
      </c>
      <c r="P101" s="8">
        <v>2.5</v>
      </c>
      <c r="Q101">
        <v>0.76200000000000001</v>
      </c>
      <c r="S101" s="17">
        <f>ROUND($K$100,3)</f>
        <v>4</v>
      </c>
      <c r="T101" t="str">
        <f>IF($D$53=1,"ft","m")</f>
        <v>ft</v>
      </c>
      <c r="U101" t="str">
        <f>IF(Project!$I$14="No","Std",S101&amp;" "&amp;T101)</f>
        <v>Std</v>
      </c>
    </row>
    <row r="102" spans="2:21">
      <c r="B102" s="9" t="s">
        <v>142</v>
      </c>
      <c r="O102" s="53" t="s">
        <v>118</v>
      </c>
      <c r="P102" s="8">
        <v>3.5</v>
      </c>
      <c r="Q102">
        <v>1.0668</v>
      </c>
      <c r="S102" s="17">
        <f>ROUND($K$100,3)</f>
        <v>4</v>
      </c>
      <c r="T102" s="53" t="str">
        <f>IF($D$53=1,"ft","m")</f>
        <v>ft</v>
      </c>
      <c r="U102" s="53" t="str">
        <f>IF(Project!$I$14="No","Std",S102&amp;" "&amp;T102)</f>
        <v>Std</v>
      </c>
    </row>
    <row r="103" spans="2:21">
      <c r="B103" s="9" t="s">
        <v>143</v>
      </c>
      <c r="O103" s="53" t="s">
        <v>119</v>
      </c>
      <c r="P103" s="8">
        <v>4</v>
      </c>
      <c r="Q103">
        <v>1.2192000000000001</v>
      </c>
      <c r="S103" s="17">
        <f>ROUND($K$100,3)</f>
        <v>4</v>
      </c>
      <c r="T103" s="53" t="str">
        <f>IF($D$53=1,"ft","m")</f>
        <v>ft</v>
      </c>
      <c r="U103" s="53" t="str">
        <f>IF(Project!$I$14="No","Std",S103&amp;" "&amp;T103)</f>
        <v>Std</v>
      </c>
    </row>
    <row r="104" spans="2:21">
      <c r="O104" s="53" t="s">
        <v>120</v>
      </c>
      <c r="P104" s="8">
        <v>4.5</v>
      </c>
      <c r="Q104">
        <v>1.3715999999999999</v>
      </c>
      <c r="S104" s="17">
        <f>ROUND($K$100,3)</f>
        <v>4</v>
      </c>
      <c r="T104" s="53" t="str">
        <f>IF($D$53=1,"ft","m")</f>
        <v>ft</v>
      </c>
      <c r="U104" s="53" t="str">
        <f>IF(Project!$I$14="No","Std",S104&amp;" "&amp;T104)</f>
        <v>Std</v>
      </c>
    </row>
    <row r="105" spans="2:21">
      <c r="O105" s="53" t="s">
        <v>169</v>
      </c>
      <c r="P105" s="8">
        <v>5</v>
      </c>
      <c r="Q105">
        <v>1.524</v>
      </c>
      <c r="S105" s="17">
        <f>ROUND($K$100,3)</f>
        <v>4</v>
      </c>
      <c r="T105" s="53" t="str">
        <f>IF($D$53=1,"ft","m")</f>
        <v>ft</v>
      </c>
      <c r="U105" s="53" t="str">
        <f>IF(Project!$I$14="No","Std",S105&amp;" "&amp;T105)</f>
        <v>Std</v>
      </c>
    </row>
    <row r="108" spans="2:21">
      <c r="C108" t="s">
        <v>248</v>
      </c>
    </row>
    <row r="110" spans="2:21">
      <c r="D110" t="s">
        <v>246</v>
      </c>
      <c r="E110" s="35" t="s">
        <v>247</v>
      </c>
    </row>
    <row r="111" spans="2:21">
      <c r="C111" s="53" t="s">
        <v>171</v>
      </c>
      <c r="D111" s="8">
        <v>4</v>
      </c>
      <c r="E111">
        <v>12</v>
      </c>
    </row>
    <row r="112" spans="2:21">
      <c r="C112" s="53" t="s">
        <v>172</v>
      </c>
      <c r="D112" s="8">
        <v>6</v>
      </c>
      <c r="E112">
        <v>14</v>
      </c>
    </row>
    <row r="113" spans="3:5">
      <c r="C113" s="53" t="s">
        <v>173</v>
      </c>
      <c r="D113" s="8">
        <v>8</v>
      </c>
      <c r="E113">
        <v>14</v>
      </c>
    </row>
    <row r="114" spans="3:5">
      <c r="C114" s="53" t="s">
        <v>174</v>
      </c>
      <c r="D114" s="8">
        <v>10</v>
      </c>
      <c r="E114">
        <v>16</v>
      </c>
    </row>
    <row r="115" spans="3:5">
      <c r="C115" s="53" t="s">
        <v>175</v>
      </c>
      <c r="D115" s="8">
        <v>12</v>
      </c>
      <c r="E115">
        <v>16</v>
      </c>
    </row>
  </sheetData>
  <sortState xmlns:xlrd2="http://schemas.microsoft.com/office/spreadsheetml/2017/richdata2" ref="P19:U23">
    <sortCondition ref="P19:P23"/>
  </sortState>
  <mergeCells count="1">
    <mergeCell ref="P99:Q99"/>
  </mergeCells>
  <conditionalFormatting sqref="L6:L11">
    <cfRule type="expression" dxfId="0" priority="1">
      <formula>$G$15="Net Annual Treatment Volume"</formula>
    </cfRule>
  </conditionalFormatting>
  <pageMargins left="0.7" right="0.7" top="0.75" bottom="0.75" header="0.3" footer="0.3"/>
  <pageSetup orientation="portrait" r:id="rId1"/>
  <cellWatches>
    <cellWatch r="I50"/>
  </cellWatche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2:C14"/>
  <sheetViews>
    <sheetView workbookViewId="0"/>
  </sheetViews>
  <sheetFormatPr defaultRowHeight="15"/>
  <sheetData>
    <row r="2" spans="3:3">
      <c r="C2" t="s">
        <v>163</v>
      </c>
    </row>
    <row r="8" spans="3:3">
      <c r="C8" t="s">
        <v>22</v>
      </c>
    </row>
    <row r="14" spans="3:3">
      <c r="C14" t="s">
        <v>164</v>
      </c>
    </row>
  </sheetData>
  <pageMargins left="0.7" right="0.7" top="0.75" bottom="0.75" header="0.3" footer="0.3"/>
  <pageSetup orientation="portrait" horizontalDpi="0" verticalDpi="0" r:id="rId1"/>
  <drawing r:id="rId2"/>
  <legacyDrawing r:id="rId3"/>
  <oleObjects>
    <mc:AlternateContent xmlns:mc="http://schemas.openxmlformats.org/markup-compatibility/2006">
      <mc:Choice Requires="x14">
        <oleObject progId="Document" dvAspect="DVASPECT_ICON" shapeId="5121" r:id="rId4">
          <objectPr defaultSize="0" r:id="rId5">
            <anchor moveWithCells="1">
              <from>
                <xdr:col>1</xdr:col>
                <xdr:colOff>523875</xdr:colOff>
                <xdr:row>3</xdr:row>
                <xdr:rowOff>76200</xdr:rowOff>
              </from>
              <to>
                <xdr:col>3</xdr:col>
                <xdr:colOff>219075</xdr:colOff>
                <xdr:row>7</xdr:row>
                <xdr:rowOff>0</xdr:rowOff>
              </to>
            </anchor>
          </objectPr>
        </oleObject>
      </mc:Choice>
      <mc:Fallback>
        <oleObject progId="Document" dvAspect="DVASPECT_ICON" shapeId="5121" r:id="rId4"/>
      </mc:Fallback>
    </mc:AlternateContent>
    <mc:AlternateContent xmlns:mc="http://schemas.openxmlformats.org/markup-compatibility/2006">
      <mc:Choice Requires="x14">
        <oleObject progId="Acrobat Document" dvAspect="DVASPECT_ICON" shapeId="5122" r:id="rId6">
          <objectPr defaultSize="0" r:id="rId7">
            <anchor moveWithCells="1">
              <from>
                <xdr:col>1</xdr:col>
                <xdr:colOff>504825</xdr:colOff>
                <xdr:row>9</xdr:row>
                <xdr:rowOff>85725</xdr:rowOff>
              </from>
              <to>
                <xdr:col>3</xdr:col>
                <xdr:colOff>200025</xdr:colOff>
                <xdr:row>13</xdr:row>
                <xdr:rowOff>9525</xdr:rowOff>
              </to>
            </anchor>
          </objectPr>
        </oleObject>
      </mc:Choice>
      <mc:Fallback>
        <oleObject progId="Acrobat Document" dvAspect="DVASPECT_ICON" shapeId="5122" r:id="rId6"/>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3:F23"/>
  <sheetViews>
    <sheetView workbookViewId="0"/>
  </sheetViews>
  <sheetFormatPr defaultRowHeight="15"/>
  <sheetData>
    <row r="3" spans="2:6">
      <c r="B3" s="1" t="s">
        <v>162</v>
      </c>
    </row>
    <row r="5" spans="2:6">
      <c r="B5" s="26"/>
      <c r="F5" s="26"/>
    </row>
    <row r="6" spans="2:6" s="27" customFormat="1">
      <c r="B6" s="26"/>
      <c r="F6" s="26"/>
    </row>
    <row r="7" spans="2:6">
      <c r="B7" s="26"/>
      <c r="F7" s="26"/>
    </row>
    <row r="8" spans="2:6" s="27" customFormat="1">
      <c r="B8" s="26"/>
      <c r="F8" s="26"/>
    </row>
    <row r="9" spans="2:6">
      <c r="B9" s="26"/>
    </row>
    <row r="10" spans="2:6" s="10" customFormat="1"/>
    <row r="11" spans="2:6" s="10" customFormat="1">
      <c r="B11" s="26"/>
    </row>
    <row r="12" spans="2:6" s="10" customFormat="1"/>
    <row r="13" spans="2:6" s="10" customFormat="1">
      <c r="B13" s="26"/>
    </row>
    <row r="14" spans="2:6" s="10" customFormat="1">
      <c r="B14" s="26"/>
    </row>
    <row r="15" spans="2:6" s="10" customFormat="1">
      <c r="B15" s="26"/>
    </row>
    <row r="16" spans="2:6" s="10" customFormat="1"/>
    <row r="17" spans="2:2">
      <c r="B17" s="1" t="s">
        <v>25</v>
      </c>
    </row>
    <row r="21" spans="2:2">
      <c r="B21" s="26"/>
    </row>
    <row r="23" spans="2:2">
      <c r="B23" s="1"/>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7"/>
  <sheetViews>
    <sheetView workbookViewId="0"/>
  </sheetViews>
  <sheetFormatPr defaultRowHeight="15"/>
  <sheetData>
    <row r="7" spans="2:2">
      <c r="B7" t="s">
        <v>166</v>
      </c>
    </row>
  </sheetData>
  <pageMargins left="0.7" right="0.7" top="0.75" bottom="0.75" header="0.3" footer="0.3"/>
  <pageSetup orientation="portrait" r:id="rId1"/>
  <drawing r:id="rId2"/>
  <legacyDrawing r:id="rId3"/>
  <oleObjects>
    <mc:AlternateContent xmlns:mc="http://schemas.openxmlformats.org/markup-compatibility/2006">
      <mc:Choice Requires="x14">
        <oleObject progId="Acrobat Document" dvAspect="DVASPECT_ICON" shapeId="8194" r:id="rId4">
          <objectPr defaultSize="0" r:id="rId5">
            <anchor moveWithCells="1">
              <from>
                <xdr:col>1</xdr:col>
                <xdr:colOff>0</xdr:colOff>
                <xdr:row>2</xdr:row>
                <xdr:rowOff>0</xdr:rowOff>
              </from>
              <to>
                <xdr:col>2</xdr:col>
                <xdr:colOff>304800</xdr:colOff>
                <xdr:row>5</xdr:row>
                <xdr:rowOff>114300</xdr:rowOff>
              </to>
            </anchor>
          </objectPr>
        </oleObject>
      </mc:Choice>
      <mc:Fallback>
        <oleObject progId="Acrobat Document" dvAspect="DVASPECT_ICON" shapeId="8194" r:id="rId4"/>
      </mc:Fallback>
    </mc:AlternateContent>
  </oleObjec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B20"/>
  <sheetViews>
    <sheetView workbookViewId="0"/>
  </sheetViews>
  <sheetFormatPr defaultRowHeight="15"/>
  <sheetData>
    <row r="2" spans="1:2">
      <c r="A2">
        <v>1</v>
      </c>
      <c r="B2" t="s">
        <v>19</v>
      </c>
    </row>
    <row r="3" spans="1:2">
      <c r="A3">
        <v>2</v>
      </c>
      <c r="B3" t="s">
        <v>20</v>
      </c>
    </row>
    <row r="4" spans="1:2">
      <c r="A4" s="10">
        <v>3</v>
      </c>
      <c r="B4" t="s">
        <v>21</v>
      </c>
    </row>
    <row r="5" spans="1:2">
      <c r="A5" s="10">
        <v>4</v>
      </c>
      <c r="B5" t="s">
        <v>22</v>
      </c>
    </row>
    <row r="6" spans="1:2">
      <c r="A6" s="10">
        <v>5</v>
      </c>
      <c r="B6" t="s">
        <v>23</v>
      </c>
    </row>
    <row r="7" spans="1:2">
      <c r="A7" s="10">
        <v>6</v>
      </c>
      <c r="B7" t="s">
        <v>24</v>
      </c>
    </row>
    <row r="8" spans="1:2">
      <c r="A8" s="10">
        <v>7</v>
      </c>
    </row>
    <row r="9" spans="1:2">
      <c r="A9" s="10">
        <v>8</v>
      </c>
    </row>
    <row r="10" spans="1:2">
      <c r="A10" s="10">
        <v>9</v>
      </c>
    </row>
    <row r="11" spans="1:2">
      <c r="A11" s="10">
        <v>10</v>
      </c>
    </row>
    <row r="12" spans="1:2">
      <c r="A12" s="10">
        <v>11</v>
      </c>
    </row>
    <row r="13" spans="1:2">
      <c r="A13" s="10">
        <v>12</v>
      </c>
    </row>
    <row r="14" spans="1:2">
      <c r="A14" s="10">
        <v>13</v>
      </c>
    </row>
    <row r="15" spans="1:2">
      <c r="A15" s="10">
        <v>14</v>
      </c>
    </row>
    <row r="16" spans="1:2">
      <c r="A16" s="10">
        <v>15</v>
      </c>
    </row>
    <row r="17" spans="1:1">
      <c r="A17" s="10">
        <v>16</v>
      </c>
    </row>
    <row r="18" spans="1:1">
      <c r="A18" s="10">
        <v>17</v>
      </c>
    </row>
    <row r="19" spans="1:1">
      <c r="A19" s="10">
        <v>18</v>
      </c>
    </row>
    <row r="20" spans="1:1">
      <c r="A20" s="10">
        <v>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ReadMe</vt:lpstr>
      <vt:lpstr>Project</vt:lpstr>
      <vt:lpstr>TBD</vt:lpstr>
      <vt:lpstr>WQFCalc</vt:lpstr>
      <vt:lpstr>Specification</vt:lpstr>
      <vt:lpstr>Links</vt:lpstr>
      <vt:lpstr>UserManual</vt:lpstr>
      <vt:lpstr>FUTURE UPDATE TASKS</vt:lpstr>
      <vt:lpstr>Model</vt:lpstr>
      <vt:lpstr>Project!Print_Area</vt:lpstr>
      <vt:lpstr>ProductList</vt:lpstr>
      <vt:lpstr>PSD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Phillip Taylor</dc:creator>
  <cp:lastModifiedBy>Phillip Taylor</cp:lastModifiedBy>
  <cp:lastPrinted>2016-09-21T17:38:37Z</cp:lastPrinted>
  <dcterms:created xsi:type="dcterms:W3CDTF">2015-06-04T21:16:38Z</dcterms:created>
  <dcterms:modified xsi:type="dcterms:W3CDTF">2021-09-01T20:29:19Z</dcterms:modified>
</cp:coreProperties>
</file>