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chnical Materials\Cost of Grit Calculator Spreadsheet 2017\"/>
    </mc:Choice>
  </mc:AlternateContent>
  <xr:revisionPtr revIDLastSave="0" documentId="13_ncr:1_{29C31DB6-2DCC-4319-9B7C-A13E5AE51C51}" xr6:coauthVersionLast="28" xr6:coauthVersionMax="28" xr10:uidLastSave="{00000000-0000-0000-0000-000000000000}"/>
  <bookViews>
    <workbookView xWindow="0" yWindow="0" windowWidth="17625" windowHeight="10890" xr2:uid="{00000000-000D-0000-FFFF-FFFF00000000}"/>
  </bookViews>
  <sheets>
    <sheet name="Cost of Grit" sheetId="28" r:id="rId1"/>
    <sheet name="Plant Data" sheetId="24" state="hidden" r:id="rId2"/>
    <sheet name="Instructions" sheetId="7" r:id="rId3"/>
    <sheet name="Graph Data" sheetId="8" state="hidden" r:id="rId4"/>
  </sheets>
  <definedNames>
    <definedName name="Aeration_Basin_Cost" localSheetId="0">'Cost of Grit'!$L$23</definedName>
    <definedName name="Aeration_Basin_Cost">#REF!</definedName>
    <definedName name="Aeration_Basin_Impact" localSheetId="0">'Cost of Grit'!$J$23</definedName>
    <definedName name="Aeration_Basin_Impact">#REF!</definedName>
    <definedName name="AGM_Annual_Cost">'Cost of Grit'!$N$57</definedName>
    <definedName name="Annual_Cost" localSheetId="0">'Cost of Grit'!$L$45</definedName>
    <definedName name="Annual_Cost">#REF!</definedName>
    <definedName name="Average_FLow" localSheetId="0">'Cost of Grit'!$H$7</definedName>
    <definedName name="Average_FLow">#REF!</definedName>
    <definedName name="bioreactor_cleaning">'Cost of Grit'!$J$27</definedName>
    <definedName name="Centrifuge_Cost" localSheetId="0">'Cost of Grit'!$L$39</definedName>
    <definedName name="Centrifuge_Cost">#REF!</definedName>
    <definedName name="Centrifuge_Wear" localSheetId="0">'Cost of Grit'!$J$39</definedName>
    <definedName name="Centrifuge_Wear">#REF!</definedName>
    <definedName name="City">'Cost of Grit'!$N$6</definedName>
    <definedName name="Clarifier_Cost" localSheetId="0">'Cost of Grit'!$L$19</definedName>
    <definedName name="Clarifier_Cost">#REF!</definedName>
    <definedName name="Clarifier_Maintenance" localSheetId="0">'Cost of Grit'!$J$19</definedName>
    <definedName name="Clarifier_Maintenance">#REF!</definedName>
    <definedName name="Custom_Cost1">'Cost of Grit'!#REF!</definedName>
    <definedName name="Custom_Cost2">'Cost of Grit'!#REF!</definedName>
    <definedName name="Custom1">'Cost of Grit'!#REF!</definedName>
    <definedName name="Custom2">'Cost of Grit'!#REF!</definedName>
    <definedName name="Digester_Cleaning" localSheetId="0">'Cost of Grit'!$J$35</definedName>
    <definedName name="Digester_Cleaning">#REF!</definedName>
    <definedName name="Digester_Cleaning_Cost" localSheetId="0">'Cost of Grit'!$L$35</definedName>
    <definedName name="Digester_Cleaning_Cost">#REF!</definedName>
    <definedName name="Existing_Annual_Cost">'Cost of Grit'!$H$57</definedName>
    <definedName name="existing_efficiency" localSheetId="0">'Cost of Grit'!$H$55</definedName>
    <definedName name="existing_efficiency">#REF!</definedName>
    <definedName name="Grit_Tank_Cleaning" localSheetId="0">'Cost of Grit'!$J$15</definedName>
    <definedName name="Grit_Tank_Cleaning">#REF!</definedName>
    <definedName name="Grit_Tank_Cost" localSheetId="0">'Cost of Grit'!$L$15</definedName>
    <definedName name="Grit_Tank_Cost">#REF!</definedName>
    <definedName name="GritCleaningList">OFFSET('Plant Data'!$A$4,1,0,COUNTA('Plant Data'!$A$6:$A$8)-1,1)</definedName>
    <definedName name="hydro_efficiency" localSheetId="0">'Cost of Grit'!$N$55</definedName>
    <definedName name="hydro_efficiency">#REF!</definedName>
    <definedName name="Lifetime">'Cost of Grit'!$F$62</definedName>
    <definedName name="Maintenance_Chart">"Chart 1"</definedName>
    <definedName name="Peak_Flow" localSheetId="0">'Cost of Grit'!$J$7</definedName>
    <definedName name="Peak_Flow">#REF!</definedName>
    <definedName name="Plant_Name">'Cost of Grit'!$H$6</definedName>
    <definedName name="_xlnm.Print_Area" localSheetId="0">'Cost of Grit'!$B$1:$O$178</definedName>
    <definedName name="_xlnm.Print_Area" localSheetId="2">Instructions!$A$1:$D$59</definedName>
    <definedName name="Pump_Cost" localSheetId="0">'Cost of Grit'!$L$31</definedName>
    <definedName name="Pump_Cost">#REF!</definedName>
    <definedName name="Pump_Maintenance" localSheetId="0">'Cost of Grit'!$J$31</definedName>
    <definedName name="Pump_Maintenance">#REF!</definedName>
    <definedName name="VA_Plant">'Plant Data'!$D$8,'Plant Data'!$G$8,'Graph Data'!$N$5,'Plant Data'!$F$6</definedName>
  </definedNames>
  <calcPr calcId="171027"/>
</workbook>
</file>

<file path=xl/calcChain.xml><?xml version="1.0" encoding="utf-8"?>
<calcChain xmlns="http://schemas.openxmlformats.org/spreadsheetml/2006/main">
  <c r="L43" i="28" l="1"/>
  <c r="F66" i="28" l="1"/>
  <c r="C82" i="28" l="1"/>
  <c r="C92" i="28"/>
  <c r="N90" i="28"/>
  <c r="N89" i="28"/>
  <c r="H89" i="28"/>
  <c r="H55" i="28" l="1"/>
  <c r="L12" i="28" l="1"/>
  <c r="F95" i="28" l="1"/>
  <c r="F27" i="28" l="1"/>
  <c r="D29" i="28"/>
  <c r="D28" i="28"/>
  <c r="J27" i="28"/>
  <c r="L27" i="28" s="1"/>
  <c r="E6" i="24" l="1"/>
  <c r="J15" i="28" s="1"/>
  <c r="L15" i="28" s="1"/>
  <c r="Q15" i="28" l="1"/>
  <c r="D25" i="28" l="1"/>
  <c r="D21" i="28"/>
  <c r="D37" i="28"/>
  <c r="D36" i="28"/>
  <c r="F35" i="28"/>
  <c r="E11" i="24"/>
  <c r="J19" i="28" s="1"/>
  <c r="L19" i="28" s="1"/>
  <c r="D41" i="28"/>
  <c r="D40" i="28"/>
  <c r="F39" i="28"/>
  <c r="D33" i="28"/>
  <c r="D32" i="28"/>
  <c r="F31" i="28"/>
  <c r="D24" i="28"/>
  <c r="F23" i="28"/>
  <c r="D20" i="28"/>
  <c r="F19" i="28"/>
  <c r="F15" i="28"/>
  <c r="P19" i="28" l="1"/>
  <c r="Q19" i="28"/>
  <c r="P15" i="28"/>
  <c r="D17" i="28"/>
  <c r="G47" i="28" l="1"/>
  <c r="B67" i="7" l="1"/>
  <c r="B65" i="7"/>
  <c r="D16" i="28"/>
  <c r="F74" i="28" l="1"/>
  <c r="F75" i="28"/>
  <c r="E37" i="24"/>
  <c r="E36" i="24"/>
  <c r="J39" i="28" s="1"/>
  <c r="L39" i="28" s="1"/>
  <c r="P39" i="28" l="1"/>
  <c r="Q39" i="28"/>
  <c r="E32" i="24"/>
  <c r="E31" i="24"/>
  <c r="E30" i="24"/>
  <c r="J35" i="28" s="1"/>
  <c r="L35" i="28" s="1"/>
  <c r="E26" i="24"/>
  <c r="J31" i="28" s="1"/>
  <c r="L31" i="28" s="1"/>
  <c r="E17" i="24"/>
  <c r="E16" i="24"/>
  <c r="J23" i="28" s="1"/>
  <c r="L23" i="28" s="1"/>
  <c r="E12" i="24"/>
  <c r="F79" i="28" l="1"/>
  <c r="L45" i="28"/>
  <c r="H57" i="28" s="1"/>
  <c r="P23" i="28"/>
  <c r="Q23" i="28"/>
  <c r="P31" i="28"/>
  <c r="Q31" i="28"/>
  <c r="Q35" i="28"/>
  <c r="P35" i="28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F76" i="28" l="1"/>
  <c r="F77" i="28"/>
  <c r="N57" i="28"/>
  <c r="C2" i="8" s="1"/>
  <c r="C3" i="8" s="1"/>
  <c r="C4" i="8" s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F63" i="28"/>
  <c r="B2" i="8"/>
  <c r="B3" i="8" s="1"/>
  <c r="B4" i="8" s="1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F78" i="28"/>
  <c r="A23" i="8"/>
  <c r="B23" i="8" l="1"/>
  <c r="C23" i="8"/>
  <c r="I72" i="28"/>
  <c r="F67" i="28"/>
  <c r="D83" i="28" s="1"/>
  <c r="A24" i="8"/>
  <c r="D93" i="28" l="1"/>
  <c r="B24" i="8"/>
  <c r="C24" i="8"/>
  <c r="A25" i="8"/>
  <c r="B25" i="8" l="1"/>
  <c r="C25" i="8"/>
  <c r="A26" i="8"/>
  <c r="B26" i="8" l="1"/>
  <c r="C26" i="8"/>
  <c r="A27" i="8"/>
  <c r="A28" i="8" l="1"/>
  <c r="B27" i="8"/>
  <c r="C27" i="8"/>
  <c r="A29" i="8" l="1"/>
  <c r="B28" i="8"/>
  <c r="C28" i="8"/>
  <c r="A30" i="8" l="1"/>
  <c r="B29" i="8"/>
  <c r="C29" i="8"/>
  <c r="A31" i="8" l="1"/>
  <c r="B30" i="8"/>
  <c r="C30" i="8"/>
  <c r="A32" i="8" l="1"/>
  <c r="B31" i="8"/>
  <c r="C31" i="8"/>
  <c r="A33" i="8" l="1"/>
  <c r="B32" i="8"/>
  <c r="C32" i="8"/>
  <c r="A34" i="8" l="1"/>
  <c r="B33" i="8"/>
  <c r="C33" i="8"/>
  <c r="A35" i="8" l="1"/>
  <c r="B34" i="8"/>
  <c r="C34" i="8"/>
  <c r="A36" i="8" l="1"/>
  <c r="B35" i="8"/>
  <c r="C35" i="8"/>
  <c r="A37" i="8" l="1"/>
  <c r="B36" i="8"/>
  <c r="C36" i="8"/>
  <c r="A38" i="8" l="1"/>
  <c r="B37" i="8"/>
  <c r="C37" i="8"/>
  <c r="A39" i="8" l="1"/>
  <c r="B38" i="8"/>
  <c r="C38" i="8"/>
  <c r="A40" i="8" l="1"/>
  <c r="B39" i="8"/>
  <c r="C39" i="8"/>
  <c r="A41" i="8" l="1"/>
  <c r="B40" i="8"/>
  <c r="C40" i="8"/>
  <c r="A42" i="8" l="1"/>
  <c r="A43" i="8" s="1"/>
  <c r="A44" i="8" s="1"/>
  <c r="A45" i="8" s="1"/>
  <c r="A46" i="8" s="1"/>
  <c r="B41" i="8"/>
  <c r="C41" i="8"/>
</calcChain>
</file>

<file path=xl/sharedStrings.xml><?xml version="1.0" encoding="utf-8"?>
<sst xmlns="http://schemas.openxmlformats.org/spreadsheetml/2006/main" count="179" uniqueCount="145">
  <si>
    <t>Pump Maintenance</t>
  </si>
  <si>
    <t>Plant Flows</t>
  </si>
  <si>
    <t>Annually spends $84,000 to clean grit tanks</t>
  </si>
  <si>
    <t>Budgets $1,500,000 to clean 6 of 14 digesters every year</t>
  </si>
  <si>
    <t>Primary Clarifier Maintenance</t>
  </si>
  <si>
    <t>Aeration Basin Impacts</t>
  </si>
  <si>
    <t>Spends $475,200/ year on additional HP due to grit in aeration basin</t>
  </si>
  <si>
    <t>Centrifuge Wear</t>
  </si>
  <si>
    <t>Spends $20,000 per year to repair scrolls due to abrasive wear</t>
  </si>
  <si>
    <t>Grit Tank Cleaning</t>
  </si>
  <si>
    <t>Grit Impact</t>
  </si>
  <si>
    <t>Annual Cost of Grit based on Advanced Grit Removal</t>
  </si>
  <si>
    <t>City:</t>
  </si>
  <si>
    <t>State:</t>
  </si>
  <si>
    <t>N</t>
  </si>
  <si>
    <t>All examples on the following sheet are actual costs of grit reported by various US plants</t>
  </si>
  <si>
    <t>% of Design Flow</t>
  </si>
  <si>
    <t>Observed Total % Removal 106 µm and up</t>
  </si>
  <si>
    <t>Detritus Tank</t>
  </si>
  <si>
    <t>Plant Name:</t>
  </si>
  <si>
    <t>Spends $400,000 to clean 2 digesters every 10 years</t>
  </si>
  <si>
    <t>Spends $500,000 to fix primary clarifier chain &amp; flight every 5 years</t>
  </si>
  <si>
    <t>Spent $38,370 to clean aeration basin every 5 years</t>
  </si>
  <si>
    <t xml:space="preserve">Spent $55,000 annually on sludge pump repair due to abrasive wear from grit </t>
  </si>
  <si>
    <t>Annual and Lifecycle Savings Calculator for:</t>
  </si>
  <si>
    <t>The relative performance of grit removal devices based on the same test methodology is shown to the right and can be used for removal efficiency</t>
  </si>
  <si>
    <t>Efficiency</t>
  </si>
  <si>
    <t xml:space="preserve">Expected </t>
  </si>
  <si>
    <t>Digester Cleaning - Pick one</t>
  </si>
  <si>
    <t>Total</t>
  </si>
  <si>
    <t xml:space="preserve">Lifecycle Costs over </t>
  </si>
  <si>
    <t>Lifecycle Cost of Grit based on conventional removal</t>
  </si>
  <si>
    <t>Lifecycle Cost of Grit based on Advanced Grit Removal</t>
  </si>
  <si>
    <t>Cost of Grit Calculator - Background</t>
  </si>
  <si>
    <t>The removal efficency for the grit system being considered can be adjusted</t>
  </si>
  <si>
    <t>The number of years used to calculate lifetime savings can be adjusted</t>
  </si>
  <si>
    <t>Cost per MGD</t>
  </si>
  <si>
    <t>Annual grit related primary sedimentation tank cleaning/maintenance costs are $230,000</t>
  </si>
  <si>
    <t>Cleans one of 3 digesters per year at a cost of $99,000</t>
  </si>
  <si>
    <t>Treats more flow for with less power with new AGM system, saving $5.29-$6.66/mgd, average $5.97</t>
  </si>
  <si>
    <t>Spends $150,000 per year on centrifuge bowls due to abrasive wear</t>
  </si>
  <si>
    <t>All examples are from plants operating conventional grit removal systems, i.e. detritus tanks, aerated grit or mechanically induced vortex</t>
  </si>
  <si>
    <t>In some cases, multiple examples are displayed. Only one will apply.</t>
  </si>
  <si>
    <t>Alternative</t>
  </si>
  <si>
    <t>Hydro</t>
  </si>
  <si>
    <t>Plant Name</t>
  </si>
  <si>
    <t xml:space="preserve">Peak Flow </t>
  </si>
  <si>
    <t>Plant Location</t>
  </si>
  <si>
    <t>Note</t>
  </si>
  <si>
    <t>Avg Flow</t>
  </si>
  <si>
    <t>Plant Flows:</t>
  </si>
  <si>
    <t>Existing</t>
  </si>
  <si>
    <t>Savings and Payback:</t>
  </si>
  <si>
    <t>Grit tank / channel cleanout</t>
  </si>
  <si>
    <t>Refurbishment of Primary Clarifier</t>
  </si>
  <si>
    <t>Digester Cleanout</t>
  </si>
  <si>
    <t>Pump wear / maintenance:</t>
  </si>
  <si>
    <t>Aeration Basin cleanout</t>
  </si>
  <si>
    <t>Centrifuge Repair</t>
  </si>
  <si>
    <t>Annual Cost Comparison</t>
  </si>
  <si>
    <t>Conventional Technology:</t>
  </si>
  <si>
    <t>N/A</t>
  </si>
  <si>
    <t>VA Plant (19 MGD)</t>
  </si>
  <si>
    <t>WA Plant (21 MGD)</t>
  </si>
  <si>
    <t>CO Plant (4 MGD)</t>
  </si>
  <si>
    <t>NY Plant (180 MGD)</t>
  </si>
  <si>
    <t>LA Plant (14 MGD)</t>
  </si>
  <si>
    <t>AR Plant (12 MGD)</t>
  </si>
  <si>
    <t>Custom Cost1</t>
  </si>
  <si>
    <t>Custom Cost2</t>
  </si>
  <si>
    <t>VA Plant (18 MGD)</t>
  </si>
  <si>
    <t>TX Plant (350 MGD)</t>
  </si>
  <si>
    <t>IA Plant (8 MGD)</t>
  </si>
  <si>
    <t>NM Plant (76 MGD)</t>
  </si>
  <si>
    <r>
      <rPr>
        <b/>
        <i/>
        <sz val="14"/>
        <color theme="1"/>
        <rFont val="Arial"/>
        <family val="2"/>
      </rPr>
      <t xml:space="preserve">Annual </t>
    </r>
    <r>
      <rPr>
        <b/>
        <sz val="14"/>
        <color theme="1"/>
        <rFont val="Arial"/>
        <family val="2"/>
      </rPr>
      <t>Savings provided by an Advanced Grit Removal system:</t>
    </r>
  </si>
  <si>
    <t>Bioreactor Cleaning</t>
  </si>
  <si>
    <t>UT Plant (50 MGD)</t>
  </si>
  <si>
    <t>Cleans one of five bioreactors annually at a cost of $239,000 for cleaning alone</t>
  </si>
  <si>
    <t>Advanced Grit Management System:</t>
  </si>
  <si>
    <t>Grit Impact - Site and Maintenance Costs</t>
  </si>
  <si>
    <t>Sample Flows</t>
  </si>
  <si>
    <t>Hydro-int.com</t>
  </si>
  <si>
    <t>Flows (MGD Avg.):</t>
  </si>
  <si>
    <t>HRSD Chesapeake Elizabeth plant (19 MGD Avg, 24 MGD Peak)</t>
  </si>
  <si>
    <t>HRSD Nansemond Treatment Plant (19 MGD Avg. 24 MGD Peak)</t>
  </si>
  <si>
    <t>Unnamed plant - numbers provided by plant (21 MGD Avg. 60 MGD Peak)</t>
  </si>
  <si>
    <t>Buffalo NY - from presentation (180 MGD Avg, 600 MGD Peak)</t>
  </si>
  <si>
    <t>Task: Grit Tank Cleaning</t>
  </si>
  <si>
    <t>Based on Your Avg. Flow MGD</t>
  </si>
  <si>
    <t>Task: Primary Clarifier Maintenance</t>
  </si>
  <si>
    <t>Task: Aeration Basin Cleaning</t>
  </si>
  <si>
    <t>Confidential Location (50 MGD Avg.)</t>
  </si>
  <si>
    <t>Castle Rock Plum Creek CO (4 MGD Avg, 7 MGD Peak)</t>
  </si>
  <si>
    <t>St. Bernard Parish, LA Muenster WWTP (14 MGD Avg, 50 MGD Peak)</t>
  </si>
  <si>
    <t>Little Rock AR (12 MGD Avg, 52 MGD Peak)</t>
  </si>
  <si>
    <t>HRSD Nansemond Treatment Plant (18 MGD Avg, 30 MGD Peak)</t>
  </si>
  <si>
    <t>Dallas TX - numbers provided by plant staff (350 MGD Avg, 450 MGD Peak)</t>
  </si>
  <si>
    <t>Confidential plant - numbers provided by plant (21 MGD Avg, 60 MGD Peak)</t>
  </si>
  <si>
    <t>Council Bluffs IA - info from Plant staff (8 MGD Avg, 35 MGD Peak)</t>
  </si>
  <si>
    <t>Albuquerque - from paper by engineer at RMWEA (76 MGD Avg, 120 MGD Peak)</t>
  </si>
  <si>
    <t>Orange boxes are to be completed/input by user</t>
  </si>
  <si>
    <t>Blue boxes are either calculated or carried from previous input fields</t>
  </si>
  <si>
    <t>Anytown</t>
  </si>
  <si>
    <r>
      <rPr>
        <b/>
        <sz val="11"/>
        <color theme="1"/>
        <rFont val="Arial"/>
        <family val="2"/>
      </rPr>
      <t>Step 2.1.</t>
    </r>
    <r>
      <rPr>
        <sz val="11"/>
        <color theme="1"/>
        <rFont val="Arial"/>
        <family val="2"/>
      </rPr>
      <t xml:space="preserve"> If this task doesn't apply to your plant select N/A (not applicable). </t>
    </r>
    <r>
      <rPr>
        <b/>
        <sz val="11"/>
        <color rgb="FFC00000"/>
        <rFont val="Arial"/>
        <family val="2"/>
      </rPr>
      <t>C</t>
    </r>
  </si>
  <si>
    <t>Grit Impact Calculator - Directions</t>
  </si>
  <si>
    <r>
      <rPr>
        <b/>
        <sz val="11"/>
        <color theme="1"/>
        <rFont val="Arial"/>
        <family val="2"/>
      </rPr>
      <t>Step 1. Basic Info.</t>
    </r>
    <r>
      <rPr>
        <sz val="11"/>
        <color theme="1"/>
        <rFont val="Arial"/>
        <family val="2"/>
      </rPr>
      <t xml:space="preserve"> Input your plant name, location, peak and average flows in the boxes with Orange Text at the top of page </t>
    </r>
    <r>
      <rPr>
        <b/>
        <sz val="11"/>
        <color rgb="FFC00000"/>
        <rFont val="Arial"/>
        <family val="2"/>
      </rPr>
      <t>A</t>
    </r>
  </si>
  <si>
    <r>
      <rPr>
        <b/>
        <sz val="11"/>
        <color theme="1"/>
        <rFont val="Arial"/>
        <family val="2"/>
      </rPr>
      <t>Step 2. Input Variables and Issues Your Plant Faces.</t>
    </r>
    <r>
      <rPr>
        <sz val="11"/>
        <color theme="1"/>
        <rFont val="Arial"/>
        <family val="2"/>
      </rPr>
      <t xml:space="preserve"> Use the drop down lists to select a plant with data that may be similar to your facility.  These costs per MGD will be applied to your Avg. Flow (MGD). </t>
    </r>
    <r>
      <rPr>
        <b/>
        <sz val="11"/>
        <color rgb="FFC00000"/>
        <rFont val="Arial"/>
        <family val="2"/>
      </rPr>
      <t>B</t>
    </r>
  </si>
  <si>
    <t>Step 3. Compare Lifetime Costs of Advanced Grit Management Systems to Conventional Grit Removal Technologies</t>
  </si>
  <si>
    <r>
      <t xml:space="preserve">You can compare the lifetime savings of Advanced Grit Removal systems (Stacked Tray) to conventional technologies, by selecting the technology type from pulldown </t>
    </r>
    <r>
      <rPr>
        <b/>
        <sz val="11"/>
        <color rgb="FFC00000"/>
        <rFont val="Arial"/>
        <family val="2"/>
      </rPr>
      <t>E</t>
    </r>
  </si>
  <si>
    <t>Performance comparison data from WEFTEC Conference Proceedings 2014.  (See table below)</t>
  </si>
  <si>
    <r>
      <t xml:space="preserve">You can also adjust the years to determine the lifetime savings / costs of grit that different types of systems will provide by entering the number of years at </t>
    </r>
    <r>
      <rPr>
        <b/>
        <sz val="11"/>
        <color rgb="FFC00000"/>
        <rFont val="Arial"/>
        <family val="2"/>
      </rPr>
      <t>F</t>
    </r>
    <r>
      <rPr>
        <sz val="11"/>
        <color theme="1"/>
        <rFont val="Arial"/>
        <family val="2"/>
      </rPr>
      <t xml:space="preserve">. </t>
    </r>
  </si>
  <si>
    <t>Annual and Lifecycle Savings Calculator - Notes</t>
  </si>
  <si>
    <t xml:space="preserve">Relative Performance of Grit Removal Devices - Data Source - WEFTEC 2014 Conference Proceedings </t>
  </si>
  <si>
    <t>Aerated Grit Basin (AGB)</t>
  </si>
  <si>
    <t>Mechanically Induced Vortex (MIV)</t>
  </si>
  <si>
    <t>Stacked Tray (HeadCell)</t>
  </si>
  <si>
    <t>Structured Flow Vortex (Grit King)</t>
  </si>
  <si>
    <t>Grit Removal Technology</t>
  </si>
  <si>
    <t>Task: Bioreactor Cleaning</t>
  </si>
  <si>
    <t>Task: Pump Maintenance</t>
  </si>
  <si>
    <t>Task: Digester Cleaning</t>
  </si>
  <si>
    <t>Task: Centrifuge Wear</t>
  </si>
  <si>
    <t>* Source : McNamara, B. (2014). Proceedings of the Water Environment Federation, session 400-409, pp. 4919-4929. Alexandria, VA: Water Environment Federation.</t>
  </si>
  <si>
    <t>Source : McNamara, B. (2014). Proceedings of the Water Environment Federation, session 400-409, pp. 4919-4929. Alexandria, VA: Water Environment Federation.</t>
  </si>
  <si>
    <t xml:space="preserve">Visit Hydro-int.com to learn how Advanced Grit Management systems save you money. </t>
  </si>
  <si>
    <t>Standard Costs / MGD (Avg.)</t>
  </si>
  <si>
    <t>Oregon</t>
  </si>
  <si>
    <r>
      <t xml:space="preserve">Select the type of technology by choosing from the </t>
    </r>
    <r>
      <rPr>
        <b/>
        <sz val="11"/>
        <color theme="9" tint="-0.249977111117893"/>
        <rFont val="Arial"/>
        <family val="2"/>
      </rPr>
      <t>orange</t>
    </r>
    <r>
      <rPr>
        <sz val="11"/>
        <color theme="1"/>
        <rFont val="Arial"/>
        <family val="2"/>
      </rPr>
      <t xml:space="preserve"> dropdown list below</t>
    </r>
  </si>
  <si>
    <t>Annual Cost of Grit based on Conventional Removal*</t>
  </si>
  <si>
    <t>Efficiency*</t>
  </si>
  <si>
    <r>
      <rPr>
        <b/>
        <i/>
        <sz val="11"/>
        <color theme="1"/>
        <rFont val="Arial"/>
        <family val="2"/>
      </rPr>
      <t>COMPARE TECHNOLOGIES.</t>
    </r>
    <r>
      <rPr>
        <b/>
        <sz val="11"/>
        <color theme="1"/>
        <rFont val="Arial"/>
        <family val="2"/>
      </rPr>
      <t xml:space="preserve"> Compare the maintenance savings of Advanced Grit Management Systems to conventional grit removal technologies. </t>
    </r>
    <r>
      <rPr>
        <sz val="11"/>
        <color theme="1"/>
        <rFont val="Arial"/>
        <family val="2"/>
      </rPr>
      <t/>
    </r>
  </si>
  <si>
    <t>Enter in Green box &gt;&gt;&gt;</t>
  </si>
  <si>
    <t>Estimated Annual Maintenance Costs:</t>
  </si>
  <si>
    <r>
      <t xml:space="preserve">Your cost per MGD </t>
    </r>
    <r>
      <rPr>
        <b/>
        <u/>
        <sz val="11"/>
        <color theme="1"/>
        <rFont val="Arial"/>
        <family val="2"/>
      </rPr>
      <t>per day</t>
    </r>
    <r>
      <rPr>
        <b/>
        <sz val="11"/>
        <color theme="1"/>
        <rFont val="Arial"/>
        <family val="2"/>
      </rPr>
      <t xml:space="preserve"> based on verified field data</t>
    </r>
  </si>
  <si>
    <t>Your annual costs based on your custom values</t>
  </si>
  <si>
    <t>Enter Custom Grit Impact (Annual)</t>
  </si>
  <si>
    <t>CUSTOMIZE THE DATA TO MATCH YOUR PLANT CONDITIONS &amp; ISSUES</t>
  </si>
  <si>
    <t>Your Plant</t>
  </si>
  <si>
    <r>
      <rPr>
        <b/>
        <sz val="11"/>
        <color theme="1"/>
        <rFont val="Arial"/>
        <family val="2"/>
      </rPr>
      <t>Directions:</t>
    </r>
    <r>
      <rPr>
        <sz val="11"/>
        <color theme="1"/>
        <rFont val="Arial"/>
        <family val="2"/>
      </rPr>
      <t xml:space="preserve"> From </t>
    </r>
    <r>
      <rPr>
        <b/>
        <sz val="11"/>
        <color theme="9" tint="-0.249977111117893"/>
        <rFont val="Arial"/>
        <family val="2"/>
      </rPr>
      <t>orange</t>
    </r>
    <r>
      <rPr>
        <b/>
        <sz val="11"/>
        <color theme="1"/>
        <rFont val="Arial"/>
        <family val="2"/>
      </rPr>
      <t xml:space="preserve"> input field pulldowns</t>
    </r>
    <r>
      <rPr>
        <sz val="11"/>
        <color theme="1"/>
        <rFont val="Arial"/>
        <family val="2"/>
      </rPr>
      <t xml:space="preserve"> under the task &lt;&lt;left and below&gt;&gt; select an actual plant cost / MGD (e.g. VA Plant 19 MGD), Select N/A if the cost does not impact your plant. </t>
    </r>
  </si>
  <si>
    <r>
      <t xml:space="preserve">If you know the actual annual cost - also Select N/A, and enter the annual costs in $ into the </t>
    </r>
    <r>
      <rPr>
        <b/>
        <sz val="11"/>
        <color theme="9" tint="-0.249977111117893"/>
        <rFont val="Arial"/>
        <family val="2"/>
      </rPr>
      <t>orange</t>
    </r>
    <r>
      <rPr>
        <sz val="11"/>
        <color theme="1"/>
        <rFont val="Arial"/>
        <family val="2"/>
      </rPr>
      <t xml:space="preserve"> box </t>
    </r>
    <r>
      <rPr>
        <b/>
        <sz val="11"/>
        <color theme="1"/>
        <rFont val="Arial"/>
        <family val="2"/>
      </rPr>
      <t>Custom Cost Annual</t>
    </r>
    <r>
      <rPr>
        <sz val="11"/>
        <color theme="1"/>
        <rFont val="Arial"/>
        <family val="2"/>
      </rPr>
      <t xml:space="preserve"> &lt;&lt;center and below&gt;&gt; below.</t>
    </r>
  </si>
  <si>
    <t>Custom Cost Annual</t>
  </si>
  <si>
    <t>Custom Annual Cost</t>
  </si>
  <si>
    <r>
      <rPr>
        <b/>
        <i/>
        <sz val="11"/>
        <color theme="1"/>
        <rFont val="Arial"/>
        <family val="2"/>
      </rPr>
      <t>ADJUST PRODUCT LIFECYCLE.</t>
    </r>
    <r>
      <rPr>
        <b/>
        <sz val="11"/>
        <color theme="1"/>
        <rFont val="Arial"/>
        <family val="2"/>
      </rPr>
      <t xml:space="preserve"> Directions: </t>
    </r>
    <r>
      <rPr>
        <sz val="11"/>
        <color theme="1"/>
        <rFont val="Arial"/>
        <family val="2"/>
      </rPr>
      <t xml:space="preserve">Adjust the product lifecycle for the grit system being considered by entering the years the system will be in use in the </t>
    </r>
    <r>
      <rPr>
        <b/>
        <sz val="11"/>
        <color theme="9" tint="-0.249977111117893"/>
        <rFont val="Arial"/>
        <family val="2"/>
      </rPr>
      <t>orange</t>
    </r>
    <r>
      <rPr>
        <sz val="11"/>
        <color theme="1"/>
        <rFont val="Arial"/>
        <family val="2"/>
      </rPr>
      <t xml:space="preserve"> box below</t>
    </r>
  </si>
  <si>
    <r>
      <rPr>
        <b/>
        <sz val="11"/>
        <color theme="1"/>
        <rFont val="Arial"/>
        <family val="2"/>
      </rPr>
      <t xml:space="preserve">Step 2.2. </t>
    </r>
    <r>
      <rPr>
        <sz val="11"/>
        <color theme="1"/>
        <rFont val="Arial"/>
        <family val="2"/>
      </rPr>
      <t xml:space="preserve">If you have your own plant data / costs also select "N/A" </t>
    </r>
    <r>
      <rPr>
        <b/>
        <sz val="11"/>
        <color rgb="FFC00000"/>
        <rFont val="Arial"/>
        <family val="2"/>
      </rPr>
      <t xml:space="preserve">C </t>
    </r>
    <r>
      <rPr>
        <sz val="11"/>
        <rFont val="Arial"/>
        <family val="2"/>
      </rPr>
      <t>from pulldown</t>
    </r>
  </si>
  <si>
    <r>
      <rPr>
        <b/>
        <sz val="11"/>
        <color theme="1"/>
        <rFont val="Arial"/>
        <family val="2"/>
      </rPr>
      <t xml:space="preserve">Step 2.2. </t>
    </r>
    <r>
      <rPr>
        <sz val="11"/>
        <color theme="1"/>
        <rFont val="Arial"/>
        <family val="2"/>
      </rPr>
      <t xml:space="preserve">After you have selected "N/A" at </t>
    </r>
    <r>
      <rPr>
        <b/>
        <sz val="11"/>
        <color rgb="FFC00000"/>
        <rFont val="Arial"/>
        <family val="2"/>
      </rPr>
      <t>C</t>
    </r>
    <r>
      <rPr>
        <sz val="11"/>
        <color theme="1"/>
        <rFont val="Arial"/>
        <family val="2"/>
      </rPr>
      <t xml:space="preserve"> enter a dollar cost per MGD into the green box </t>
    </r>
    <r>
      <rPr>
        <b/>
        <sz val="11"/>
        <color rgb="FFC00000"/>
        <rFont val="Arial"/>
        <family val="2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</si>
</sst>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##\ &quot;MGD&quot;"/>
    <numFmt numFmtId="166" formatCode="&quot;$&quot;####.00\ &quot;/MGD&quot;"/>
    <numFmt numFmtId="167" formatCode="###\ &quot;MGD - Average&quot;"/>
    <numFmt numFmtId="168" formatCode="###\ &quot;MGD Peak&quot;"/>
    <numFmt numFmtId="169" formatCode="&quot;$&quot;#,##0"/>
    <numFmt numFmtId="170" formatCode="&quot;27 - 90&quot;"/>
    <numFmt numFmtId="171" formatCode="&quot;66-100&quot;"/>
    <numFmt numFmtId="172" formatCode="&quot;$&quot;#,##0\ &quot;saved&quot;"/>
    <numFmt numFmtId="173" formatCode="####\ &quot; years&quot;"/>
    <numFmt numFmtId="174" formatCode="&quot;$&quot;#,##0\ &quot; per year&quot;"/>
    <numFmt numFmtId="175" formatCode="&quot;$&quot;#,##0\ &quot;saved per year&quot;"/>
    <numFmt numFmtId="176" formatCode="&quot;$&quot;####.00\ &quot;/MGD (Avg. Flow)&quot;"/>
    <numFmt numFmtId="177" formatCode="&quot;43 - 50&quot;"/>
    <numFmt numFmtId="178" formatCode="&quot;57 - 68&quot;"/>
    <numFmt numFmtId="179" formatCode="&quot;32 - 67&quot;"/>
    <numFmt numFmtId="180" formatCode="&quot;89 - 90&quot;"/>
    <numFmt numFmtId="181" formatCode="&quot;87 - 90&quot;"/>
    <numFmt numFmtId="182" formatCode="_([$$-409]* #,##0.00_);_([$$-409]* \(#,##0.00\);_([$$-409]* &quot;-&quot;??_);_(@_)"/>
  </numFmts>
  <fonts count="45"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sz val="14"/>
      <color theme="1"/>
      <name val="Arial"/>
      <family val="2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i/>
      <sz val="14"/>
      <color theme="1"/>
      <name val="Arial"/>
      <family val="2"/>
    </font>
    <font>
      <b/>
      <u/>
      <sz val="20"/>
      <color theme="1"/>
      <name val="Arial"/>
      <family val="2"/>
    </font>
    <font>
      <sz val="24"/>
      <color theme="1"/>
      <name val="Arial"/>
      <family val="2"/>
    </font>
    <font>
      <sz val="11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b/>
      <u/>
      <sz val="14"/>
      <color theme="0"/>
      <name val="Arial"/>
      <family val="2"/>
    </font>
    <font>
      <b/>
      <sz val="11"/>
      <color rgb="FFC00000"/>
      <name val="Arial"/>
      <family val="2"/>
    </font>
    <font>
      <b/>
      <i/>
      <sz val="11"/>
      <color rgb="FF00447A"/>
      <name val="Arial"/>
      <family val="2"/>
    </font>
    <font>
      <b/>
      <sz val="14"/>
      <color theme="0"/>
      <name val="Arial"/>
      <family val="2"/>
    </font>
    <font>
      <b/>
      <i/>
      <sz val="11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9" tint="-0.249977111117893"/>
      <name val="Arial"/>
      <family val="2"/>
    </font>
    <font>
      <sz val="11"/>
      <color theme="6" tint="-0.249977111117893"/>
      <name val="Arial"/>
      <family val="2"/>
    </font>
    <font>
      <sz val="22"/>
      <color theme="1"/>
      <name val="Arial"/>
      <family val="2"/>
    </font>
    <font>
      <sz val="2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b/>
      <sz val="14"/>
      <color rgb="FFFA7D00"/>
      <name val="Calibri"/>
      <family val="2"/>
    </font>
    <font>
      <b/>
      <u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0073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7F7F7F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11" fillId="0" borderId="0" applyFont="0" applyFill="0" applyBorder="0" applyAlignment="0" applyProtection="0"/>
    <xf numFmtId="0" fontId="24" fillId="7" borderId="9" applyNumberFormat="0" applyAlignment="0" applyProtection="0"/>
    <xf numFmtId="0" fontId="28" fillId="8" borderId="0" applyNumberFormat="0" applyBorder="0" applyAlignment="0" applyProtection="0"/>
    <xf numFmtId="44" fontId="11" fillId="0" borderId="0" applyFont="0" applyFill="0" applyBorder="0" applyAlignment="0" applyProtection="0"/>
  </cellStyleXfs>
  <cellXfs count="297">
    <xf numFmtId="0" fontId="0" fillId="0" borderId="0" xfId="0"/>
    <xf numFmtId="0" fontId="6" fillId="0" borderId="0" xfId="0" applyFont="1" applyProtection="1"/>
    <xf numFmtId="0" fontId="5" fillId="0" borderId="0" xfId="0" applyFont="1" applyProtection="1"/>
    <xf numFmtId="0" fontId="0" fillId="0" borderId="0" xfId="0" applyFont="1" applyProtection="1"/>
    <xf numFmtId="0" fontId="5" fillId="0" borderId="0" xfId="0" applyFont="1" applyAlignment="1" applyProtection="1">
      <alignment vertical="top" wrapText="1"/>
    </xf>
    <xf numFmtId="0" fontId="0" fillId="0" borderId="0" xfId="0" applyProtection="1"/>
    <xf numFmtId="0" fontId="7" fillId="0" borderId="0" xfId="0" applyFont="1" applyProtection="1"/>
    <xf numFmtId="0" fontId="10" fillId="0" borderId="0" xfId="0" applyFont="1" applyProtection="1"/>
    <xf numFmtId="0" fontId="7" fillId="6" borderId="0" xfId="0" applyFont="1" applyFill="1" applyProtection="1"/>
    <xf numFmtId="0" fontId="10" fillId="6" borderId="0" xfId="0" applyFont="1" applyFill="1" applyProtection="1"/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Protection="1"/>
    <xf numFmtId="0" fontId="9" fillId="0" borderId="0" xfId="0" applyFont="1" applyProtection="1"/>
    <xf numFmtId="165" fontId="0" fillId="0" borderId="0" xfId="0" applyNumberFormat="1" applyProtection="1"/>
    <xf numFmtId="166" fontId="0" fillId="0" borderId="0" xfId="0" applyNumberFormat="1" applyFont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left" vertical="center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164" fontId="5" fillId="3" borderId="0" xfId="0" applyNumberFormat="1" applyFont="1" applyFill="1" applyProtection="1">
      <protection hidden="1"/>
    </xf>
    <xf numFmtId="164" fontId="5" fillId="0" borderId="0" xfId="0" applyNumberFormat="1" applyFont="1" applyFill="1" applyProtection="1">
      <protection hidden="1"/>
    </xf>
    <xf numFmtId="0" fontId="5" fillId="0" borderId="0" xfId="0" applyFont="1" applyFill="1" applyProtection="1">
      <protection hidden="1"/>
    </xf>
    <xf numFmtId="8" fontId="5" fillId="2" borderId="0" xfId="0" applyNumberFormat="1" applyFont="1" applyFill="1" applyProtection="1">
      <protection hidden="1"/>
    </xf>
    <xf numFmtId="8" fontId="5" fillId="0" borderId="0" xfId="0" applyNumberFormat="1" applyFont="1" applyFill="1" applyProtection="1">
      <protection hidden="1"/>
    </xf>
    <xf numFmtId="8" fontId="5" fillId="3" borderId="0" xfId="0" applyNumberFormat="1" applyFont="1" applyFill="1" applyProtection="1">
      <protection hidden="1"/>
    </xf>
    <xf numFmtId="0" fontId="0" fillId="9" borderId="0" xfId="0" applyFill="1" applyProtection="1"/>
    <xf numFmtId="0" fontId="25" fillId="12" borderId="0" xfId="0" applyFont="1" applyFill="1" applyProtection="1"/>
    <xf numFmtId="0" fontId="34" fillId="12" borderId="0" xfId="0" applyFont="1" applyFill="1" applyProtection="1"/>
    <xf numFmtId="0" fontId="0" fillId="9" borderId="0" xfId="0" applyFont="1" applyFill="1" applyProtection="1"/>
    <xf numFmtId="0" fontId="5" fillId="9" borderId="0" xfId="0" applyFont="1" applyFill="1" applyProtection="1"/>
    <xf numFmtId="0" fontId="5" fillId="9" borderId="0" xfId="0" applyFont="1" applyFill="1" applyAlignment="1" applyProtection="1">
      <alignment wrapText="1"/>
    </xf>
    <xf numFmtId="0" fontId="3" fillId="9" borderId="0" xfId="0" applyFont="1" applyFill="1" applyAlignment="1" applyProtection="1">
      <alignment wrapText="1"/>
    </xf>
    <xf numFmtId="0" fontId="35" fillId="10" borderId="10" xfId="0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9" borderId="4" xfId="0" applyFont="1" applyFill="1" applyBorder="1" applyAlignment="1"/>
    <xf numFmtId="0" fontId="5" fillId="9" borderId="0" xfId="0" applyFont="1" applyFill="1" applyBorder="1" applyAlignment="1"/>
    <xf numFmtId="0" fontId="5" fillId="9" borderId="5" xfId="0" applyFont="1" applyFill="1" applyBorder="1" applyAlignment="1"/>
    <xf numFmtId="0" fontId="0" fillId="9" borderId="4" xfId="0" applyFill="1" applyBorder="1" applyAlignment="1"/>
    <xf numFmtId="0" fontId="0" fillId="9" borderId="0" xfId="0" applyFill="1" applyBorder="1" applyAlignment="1"/>
    <xf numFmtId="0" fontId="0" fillId="9" borderId="5" xfId="0" applyFill="1" applyBorder="1" applyAlignment="1"/>
    <xf numFmtId="0" fontId="0" fillId="9" borderId="6" xfId="0" applyFont="1" applyFill="1" applyBorder="1" applyProtection="1"/>
    <xf numFmtId="0" fontId="0" fillId="9" borderId="7" xfId="0" applyFont="1" applyFill="1" applyBorder="1" applyProtection="1"/>
    <xf numFmtId="0" fontId="0" fillId="9" borderId="8" xfId="0" applyFont="1" applyFill="1" applyBorder="1" applyProtection="1"/>
    <xf numFmtId="0" fontId="5" fillId="9" borderId="1" xfId="0" applyFont="1" applyFill="1" applyBorder="1" applyAlignment="1" applyProtection="1">
      <alignment horizontal="left"/>
    </xf>
    <xf numFmtId="0" fontId="0" fillId="9" borderId="2" xfId="0" applyFont="1" applyFill="1" applyBorder="1" applyAlignment="1" applyProtection="1"/>
    <xf numFmtId="0" fontId="0" fillId="9" borderId="2" xfId="0" applyFill="1" applyBorder="1" applyAlignment="1"/>
    <xf numFmtId="0" fontId="0" fillId="9" borderId="3" xfId="0" applyFill="1" applyBorder="1" applyProtection="1"/>
    <xf numFmtId="0" fontId="5" fillId="9" borderId="4" xfId="0" applyFont="1" applyFill="1" applyBorder="1" applyAlignment="1" applyProtection="1">
      <alignment horizontal="left"/>
    </xf>
    <xf numFmtId="0" fontId="0" fillId="9" borderId="0" xfId="0" applyFont="1" applyFill="1" applyBorder="1" applyAlignment="1" applyProtection="1"/>
    <xf numFmtId="0" fontId="0" fillId="9" borderId="5" xfId="0" applyFill="1" applyBorder="1" applyProtection="1"/>
    <xf numFmtId="0" fontId="5" fillId="9" borderId="6" xfId="0" applyFont="1" applyFill="1" applyBorder="1" applyAlignment="1" applyProtection="1">
      <alignment horizontal="left"/>
    </xf>
    <xf numFmtId="0" fontId="0" fillId="9" borderId="7" xfId="0" applyFont="1" applyFill="1" applyBorder="1" applyAlignment="1" applyProtection="1"/>
    <xf numFmtId="0" fontId="0" fillId="9" borderId="7" xfId="0" applyFill="1" applyBorder="1" applyAlignment="1"/>
    <xf numFmtId="0" fontId="0" fillId="9" borderId="8" xfId="0" applyFill="1" applyBorder="1" applyProtection="1"/>
    <xf numFmtId="0" fontId="5" fillId="9" borderId="0" xfId="0" applyFont="1" applyFill="1" applyBorder="1" applyAlignment="1" applyProtection="1">
      <alignment horizontal="left"/>
    </xf>
    <xf numFmtId="0" fontId="0" fillId="9" borderId="0" xfId="0" applyFill="1" applyBorder="1" applyProtection="1"/>
    <xf numFmtId="0" fontId="0" fillId="9" borderId="2" xfId="0" applyFill="1" applyBorder="1" applyAlignment="1">
      <alignment wrapText="1"/>
    </xf>
    <xf numFmtId="0" fontId="0" fillId="9" borderId="3" xfId="0" applyFont="1" applyFill="1" applyBorder="1" applyProtection="1"/>
    <xf numFmtId="0" fontId="5" fillId="9" borderId="4" xfId="0" applyFont="1" applyFill="1" applyBorder="1" applyAlignment="1" applyProtection="1"/>
    <xf numFmtId="0" fontId="0" fillId="9" borderId="5" xfId="0" applyFont="1" applyFill="1" applyBorder="1" applyProtection="1"/>
    <xf numFmtId="0" fontId="0" fillId="9" borderId="4" xfId="0" applyFont="1" applyFill="1" applyBorder="1" applyProtection="1"/>
    <xf numFmtId="0" fontId="5" fillId="9" borderId="4" xfId="0" applyFont="1" applyFill="1" applyBorder="1" applyProtection="1"/>
    <xf numFmtId="0" fontId="0" fillId="9" borderId="0" xfId="0" applyFont="1" applyFill="1" applyBorder="1" applyProtection="1"/>
    <xf numFmtId="0" fontId="25" fillId="0" borderId="25" xfId="0" applyFont="1" applyBorder="1"/>
    <xf numFmtId="0" fontId="25" fillId="9" borderId="25" xfId="0" applyFont="1" applyFill="1" applyBorder="1" applyProtection="1"/>
    <xf numFmtId="0" fontId="5" fillId="8" borderId="0" xfId="0" applyFont="1" applyFill="1" applyProtection="1"/>
    <xf numFmtId="0" fontId="21" fillId="0" borderId="0" xfId="0" applyFont="1" applyProtection="1"/>
    <xf numFmtId="0" fontId="21" fillId="8" borderId="0" xfId="0" applyFont="1" applyFill="1" applyProtection="1"/>
    <xf numFmtId="0" fontId="28" fillId="8" borderId="0" xfId="5" applyProtection="1"/>
    <xf numFmtId="0" fontId="21" fillId="0" borderId="0" xfId="0" applyFont="1" applyFill="1" applyProtection="1"/>
    <xf numFmtId="0" fontId="6" fillId="0" borderId="1" xfId="0" applyFont="1" applyBorder="1" applyProtection="1"/>
    <xf numFmtId="0" fontId="14" fillId="0" borderId="2" xfId="0" applyFont="1" applyBorder="1" applyProtection="1"/>
    <xf numFmtId="0" fontId="6" fillId="0" borderId="2" xfId="0" applyFont="1" applyBorder="1" applyAlignment="1" applyProtection="1">
      <alignment horizontal="right"/>
    </xf>
    <xf numFmtId="0" fontId="5" fillId="0" borderId="15" xfId="0" applyFont="1" applyBorder="1" applyProtection="1"/>
    <xf numFmtId="0" fontId="5" fillId="0" borderId="16" xfId="0" applyFont="1" applyBorder="1" applyProtection="1"/>
    <xf numFmtId="0" fontId="6" fillId="0" borderId="17" xfId="0" applyFont="1" applyFill="1" applyBorder="1" applyAlignment="1" applyProtection="1">
      <alignment horizontal="right"/>
    </xf>
    <xf numFmtId="0" fontId="5" fillId="0" borderId="6" xfId="0" applyFont="1" applyBorder="1" applyProtection="1"/>
    <xf numFmtId="0" fontId="14" fillId="0" borderId="7" xfId="0" applyFont="1" applyBorder="1" applyProtection="1"/>
    <xf numFmtId="0" fontId="6" fillId="0" borderId="7" xfId="0" applyFont="1" applyBorder="1" applyAlignment="1" applyProtection="1">
      <alignment horizontal="right"/>
    </xf>
    <xf numFmtId="168" fontId="14" fillId="0" borderId="18" xfId="0" applyNumberFormat="1" applyFont="1" applyFill="1" applyBorder="1" applyProtection="1"/>
    <xf numFmtId="0" fontId="14" fillId="0" borderId="19" xfId="0" applyFont="1" applyBorder="1" applyProtection="1"/>
    <xf numFmtId="0" fontId="5" fillId="0" borderId="19" xfId="0" applyFont="1" applyBorder="1" applyProtection="1"/>
    <xf numFmtId="0" fontId="6" fillId="0" borderId="20" xfId="0" applyFont="1" applyFill="1" applyBorder="1" applyAlignment="1" applyProtection="1">
      <alignment horizontal="right"/>
    </xf>
    <xf numFmtId="0" fontId="22" fillId="0" borderId="0" xfId="0" applyFont="1" applyFill="1" applyProtection="1"/>
    <xf numFmtId="164" fontId="21" fillId="0" borderId="0" xfId="0" applyNumberFormat="1" applyFont="1" applyProtection="1"/>
    <xf numFmtId="0" fontId="7" fillId="1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center" wrapText="1"/>
    </xf>
    <xf numFmtId="0" fontId="23" fillId="0" borderId="0" xfId="0" applyFont="1" applyAlignment="1" applyProtection="1">
      <alignment horizontal="left"/>
    </xf>
    <xf numFmtId="0" fontId="13" fillId="0" borderId="0" xfId="0" applyFont="1" applyProtection="1"/>
    <xf numFmtId="0" fontId="27" fillId="0" borderId="0" xfId="0" applyFont="1" applyFill="1" applyProtection="1"/>
    <xf numFmtId="0" fontId="31" fillId="12" borderId="0" xfId="0" applyFont="1" applyFill="1" applyProtection="1"/>
    <xf numFmtId="0" fontId="27" fillId="12" borderId="0" xfId="0" applyFont="1" applyFill="1" applyProtection="1"/>
    <xf numFmtId="0" fontId="32" fillId="12" borderId="0" xfId="0" applyFont="1" applyFill="1" applyAlignment="1" applyProtection="1">
      <alignment horizontal="center"/>
    </xf>
    <xf numFmtId="0" fontId="30" fillId="0" borderId="1" xfId="0" applyFont="1" applyBorder="1" applyProtection="1"/>
    <xf numFmtId="0" fontId="5" fillId="0" borderId="2" xfId="0" applyFont="1" applyBorder="1" applyProtection="1"/>
    <xf numFmtId="0" fontId="21" fillId="0" borderId="0" xfId="0" applyFont="1" applyFill="1" applyAlignment="1" applyProtection="1">
      <alignment horizontal="right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/>
    </xf>
    <xf numFmtId="167" fontId="5" fillId="0" borderId="0" xfId="0" applyNumberFormat="1" applyFont="1" applyBorder="1" applyProtection="1"/>
    <xf numFmtId="0" fontId="5" fillId="0" borderId="0" xfId="0" applyFont="1" applyBorder="1" applyProtection="1"/>
    <xf numFmtId="169" fontId="21" fillId="5" borderId="0" xfId="0" applyNumberFormat="1" applyFont="1" applyFill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alignment horizontal="center"/>
    </xf>
    <xf numFmtId="169" fontId="7" fillId="0" borderId="0" xfId="0" applyNumberFormat="1" applyFont="1" applyFill="1" applyBorder="1" applyProtection="1"/>
    <xf numFmtId="0" fontId="7" fillId="0" borderId="5" xfId="0" applyFont="1" applyBorder="1" applyProtection="1"/>
    <xf numFmtId="0" fontId="5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left"/>
    </xf>
    <xf numFmtId="0" fontId="5" fillId="0" borderId="7" xfId="0" applyFont="1" applyBorder="1" applyProtection="1"/>
    <xf numFmtId="0" fontId="5" fillId="0" borderId="7" xfId="0" applyFont="1" applyFill="1" applyBorder="1" applyProtection="1"/>
    <xf numFmtId="164" fontId="5" fillId="0" borderId="7" xfId="0" applyNumberFormat="1" applyFont="1" applyFill="1" applyBorder="1" applyAlignment="1" applyProtection="1">
      <alignment horizontal="center"/>
    </xf>
    <xf numFmtId="169" fontId="7" fillId="0" borderId="7" xfId="0" applyNumberFormat="1" applyFont="1" applyFill="1" applyBorder="1" applyProtection="1"/>
    <xf numFmtId="0" fontId="7" fillId="0" borderId="8" xfId="0" applyFont="1" applyBorder="1" applyProtection="1"/>
    <xf numFmtId="0" fontId="5" fillId="0" borderId="2" xfId="0" applyFont="1" applyFill="1" applyBorder="1" applyProtection="1"/>
    <xf numFmtId="0" fontId="5" fillId="0" borderId="2" xfId="0" applyFont="1" applyFill="1" applyBorder="1" applyAlignment="1" applyProtection="1">
      <alignment horizontal="center"/>
    </xf>
    <xf numFmtId="169" fontId="7" fillId="0" borderId="2" xfId="0" applyNumberFormat="1" applyFont="1" applyBorder="1" applyProtection="1"/>
    <xf numFmtId="0" fontId="7" fillId="0" borderId="3" xfId="0" applyFont="1" applyBorder="1" applyProtection="1"/>
    <xf numFmtId="0" fontId="9" fillId="0" borderId="0" xfId="0" applyFont="1" applyFill="1" applyBorder="1" applyProtection="1"/>
    <xf numFmtId="169" fontId="7" fillId="0" borderId="0" xfId="0" applyNumberFormat="1" applyFont="1" applyBorder="1" applyProtection="1"/>
    <xf numFmtId="0" fontId="5" fillId="0" borderId="7" xfId="0" applyFont="1" applyBorder="1" applyAlignment="1" applyProtection="1">
      <alignment horizontal="center"/>
    </xf>
    <xf numFmtId="169" fontId="7" fillId="0" borderId="7" xfId="0" applyNumberFormat="1" applyFont="1" applyBorder="1" applyProtection="1"/>
    <xf numFmtId="0" fontId="5" fillId="0" borderId="2" xfId="0" applyFont="1" applyBorder="1" applyAlignment="1" applyProtection="1">
      <alignment horizontal="center"/>
    </xf>
    <xf numFmtId="0" fontId="38" fillId="0" borderId="0" xfId="0" applyFont="1" applyProtection="1"/>
    <xf numFmtId="8" fontId="21" fillId="0" borderId="0" xfId="0" applyNumberFormat="1" applyFont="1" applyFill="1" applyProtection="1"/>
    <xf numFmtId="0" fontId="5" fillId="0" borderId="0" xfId="0" applyFont="1" applyAlignment="1" applyProtection="1">
      <alignment horizontal="left"/>
    </xf>
    <xf numFmtId="0" fontId="9" fillId="0" borderId="0" xfId="0" applyFont="1" applyFill="1" applyBorder="1" applyAlignment="1" applyProtection="1"/>
    <xf numFmtId="0" fontId="9" fillId="0" borderId="7" xfId="0" applyFont="1" applyFill="1" applyBorder="1" applyAlignment="1" applyProtection="1"/>
    <xf numFmtId="8" fontId="5" fillId="0" borderId="7" xfId="0" applyNumberFormat="1" applyFont="1" applyFill="1" applyBorder="1" applyAlignment="1" applyProtection="1">
      <alignment horizontal="center"/>
    </xf>
    <xf numFmtId="8" fontId="5" fillId="0" borderId="2" xfId="0" applyNumberFormat="1" applyFont="1" applyBorder="1" applyProtection="1"/>
    <xf numFmtId="169" fontId="21" fillId="0" borderId="0" xfId="0" applyNumberFormat="1" applyFont="1" applyFill="1" applyAlignment="1" applyProtection="1">
      <alignment horizontal="right" indent="1"/>
    </xf>
    <xf numFmtId="164" fontId="5" fillId="0" borderId="0" xfId="0" applyNumberFormat="1" applyFont="1" applyFill="1" applyProtection="1"/>
    <xf numFmtId="0" fontId="7" fillId="0" borderId="0" xfId="0" applyFont="1" applyAlignment="1" applyProtection="1">
      <alignment horizontal="right"/>
    </xf>
    <xf numFmtId="0" fontId="22" fillId="0" borderId="0" xfId="0" applyFont="1" applyFill="1" applyAlignment="1" applyProtection="1">
      <alignment horizontal="right"/>
    </xf>
    <xf numFmtId="164" fontId="5" fillId="0" borderId="21" xfId="0" applyNumberFormat="1" applyFont="1" applyFill="1" applyBorder="1" applyProtection="1"/>
    <xf numFmtId="0" fontId="7" fillId="0" borderId="22" xfId="0" applyFont="1" applyFill="1" applyBorder="1" applyAlignment="1" applyProtection="1">
      <alignment horizontal="right"/>
    </xf>
    <xf numFmtId="0" fontId="5" fillId="11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/>
    </xf>
    <xf numFmtId="0" fontId="22" fillId="0" borderId="0" xfId="0" applyFont="1" applyProtection="1"/>
    <xf numFmtId="0" fontId="7" fillId="0" borderId="4" xfId="0" applyFont="1" applyBorder="1" applyProtection="1"/>
    <xf numFmtId="0" fontId="7" fillId="0" borderId="5" xfId="0" applyFont="1" applyBorder="1" applyAlignment="1" applyProtection="1">
      <alignment horizontal="right"/>
    </xf>
    <xf numFmtId="0" fontId="5" fillId="0" borderId="4" xfId="0" applyFont="1" applyBorder="1" applyProtection="1"/>
    <xf numFmtId="0" fontId="5" fillId="0" borderId="0" xfId="0" applyFont="1" applyBorder="1" applyAlignment="1" applyProtection="1">
      <alignment horizontal="right"/>
    </xf>
    <xf numFmtId="9" fontId="7" fillId="4" borderId="5" xfId="3" applyFont="1" applyFill="1" applyBorder="1" applyProtection="1"/>
    <xf numFmtId="9" fontId="7" fillId="0" borderId="5" xfId="0" applyNumberFormat="1" applyFont="1" applyFill="1" applyBorder="1" applyProtection="1"/>
    <xf numFmtId="0" fontId="5" fillId="0" borderId="5" xfId="0" applyFont="1" applyBorder="1" applyProtection="1"/>
    <xf numFmtId="0" fontId="7" fillId="0" borderId="7" xfId="0" applyFont="1" applyBorder="1" applyAlignment="1" applyProtection="1">
      <alignment horizontal="right"/>
    </xf>
    <xf numFmtId="174" fontId="7" fillId="4" borderId="8" xfId="0" applyNumberFormat="1" applyFont="1" applyFill="1" applyBorder="1" applyProtection="1"/>
    <xf numFmtId="0" fontId="7" fillId="0" borderId="0" xfId="0" applyFont="1" applyBorder="1" applyAlignment="1" applyProtection="1">
      <alignment horizontal="right"/>
    </xf>
    <xf numFmtId="174" fontId="7" fillId="0" borderId="0" xfId="0" applyNumberFormat="1" applyFont="1" applyFill="1" applyBorder="1" applyProtection="1"/>
    <xf numFmtId="0" fontId="14" fillId="0" borderId="0" xfId="0" applyFont="1" applyProtection="1"/>
    <xf numFmtId="169" fontId="6" fillId="4" borderId="0" xfId="0" applyNumberFormat="1" applyFont="1" applyFill="1" applyProtection="1"/>
    <xf numFmtId="173" fontId="6" fillId="4" borderId="0" xfId="0" applyNumberFormat="1" applyFont="1" applyFill="1" applyProtection="1"/>
    <xf numFmtId="169" fontId="5" fillId="0" borderId="0" xfId="0" applyNumberFormat="1" applyFont="1" applyProtection="1"/>
    <xf numFmtId="0" fontId="19" fillId="0" borderId="0" xfId="0" applyFont="1" applyProtection="1"/>
    <xf numFmtId="0" fontId="4" fillId="0" borderId="0" xfId="0" applyFont="1" applyProtection="1"/>
    <xf numFmtId="0" fontId="17" fillId="0" borderId="0" xfId="0" applyFont="1" applyProtection="1"/>
    <xf numFmtId="0" fontId="14" fillId="0" borderId="0" xfId="0" applyFont="1" applyBorder="1" applyProtection="1"/>
    <xf numFmtId="0" fontId="6" fillId="0" borderId="0" xfId="0" applyFont="1" applyBorder="1" applyAlignment="1" applyProtection="1">
      <alignment horizontal="right"/>
    </xf>
    <xf numFmtId="0" fontId="1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168" fontId="14" fillId="0" borderId="0" xfId="0" applyNumberFormat="1" applyFont="1" applyFill="1" applyBorder="1" applyProtection="1"/>
    <xf numFmtId="0" fontId="14" fillId="0" borderId="0" xfId="0" applyFont="1" applyFill="1" applyBorder="1" applyProtection="1"/>
    <xf numFmtId="172" fontId="15" fillId="0" borderId="0" xfId="0" applyNumberFormat="1" applyFont="1" applyFill="1" applyAlignment="1" applyProtection="1">
      <alignment horizontal="right"/>
    </xf>
    <xf numFmtId="0" fontId="16" fillId="0" borderId="0" xfId="0" applyFont="1" applyAlignment="1" applyProtection="1">
      <alignment horizontal="left"/>
    </xf>
    <xf numFmtId="0" fontId="20" fillId="0" borderId="0" xfId="0" applyFont="1" applyProtection="1"/>
    <xf numFmtId="0" fontId="24" fillId="7" borderId="9" xfId="4" applyAlignment="1" applyProtection="1">
      <alignment horizontal="left"/>
      <protection locked="0"/>
    </xf>
    <xf numFmtId="167" fontId="24" fillId="7" borderId="9" xfId="4" applyNumberFormat="1" applyAlignment="1" applyProtection="1">
      <alignment horizontal="left"/>
      <protection locked="0"/>
    </xf>
    <xf numFmtId="0" fontId="24" fillId="7" borderId="9" xfId="4" applyProtection="1">
      <protection locked="0"/>
    </xf>
    <xf numFmtId="0" fontId="24" fillId="7" borderId="9" xfId="4" applyBorder="1" applyProtection="1">
      <protection locked="0"/>
    </xf>
    <xf numFmtId="176" fontId="5" fillId="3" borderId="0" xfId="0" applyNumberFormat="1" applyFont="1" applyFill="1" applyBorder="1" applyAlignment="1" applyProtection="1">
      <alignment horizontal="center"/>
      <protection locked="0"/>
    </xf>
    <xf numFmtId="0" fontId="7" fillId="10" borderId="0" xfId="0" applyFont="1" applyFill="1" applyAlignment="1" applyProtection="1">
      <alignment horizontal="center" wrapText="1"/>
    </xf>
    <xf numFmtId="0" fontId="0" fillId="8" borderId="0" xfId="0" applyFill="1" applyProtection="1"/>
    <xf numFmtId="0" fontId="30" fillId="0" borderId="4" xfId="0" applyFont="1" applyBorder="1" applyProtection="1"/>
    <xf numFmtId="0" fontId="5" fillId="11" borderId="11" xfId="0" applyFont="1" applyFill="1" applyBorder="1" applyProtection="1"/>
    <xf numFmtId="0" fontId="5" fillId="11" borderId="24" xfId="0" applyFont="1" applyFill="1" applyBorder="1" applyProtection="1"/>
    <xf numFmtId="0" fontId="5" fillId="11" borderId="1" xfId="0" applyFont="1" applyFill="1" applyBorder="1" applyProtection="1"/>
    <xf numFmtId="0" fontId="5" fillId="11" borderId="3" xfId="0" applyFont="1" applyFill="1" applyBorder="1" applyProtection="1"/>
    <xf numFmtId="0" fontId="5" fillId="11" borderId="6" xfId="0" applyFont="1" applyFill="1" applyBorder="1" applyProtection="1"/>
    <xf numFmtId="0" fontId="5" fillId="11" borderId="8" xfId="0" applyFont="1" applyFill="1" applyBorder="1" applyProtection="1"/>
    <xf numFmtId="168" fontId="35" fillId="0" borderId="0" xfId="0" applyNumberFormat="1" applyFont="1" applyBorder="1" applyAlignment="1" applyProtection="1">
      <alignment horizontal="center"/>
    </xf>
    <xf numFmtId="182" fontId="24" fillId="7" borderId="9" xfId="6" applyNumberFormat="1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24" fillId="7" borderId="10" xfId="4" applyBorder="1" applyAlignment="1" applyProtection="1">
      <alignment horizontal="left"/>
    </xf>
    <xf numFmtId="167" fontId="24" fillId="7" borderId="10" xfId="4" applyNumberFormat="1" applyBorder="1" applyAlignment="1" applyProtection="1">
      <alignment horizontal="left"/>
    </xf>
    <xf numFmtId="0" fontId="24" fillId="7" borderId="10" xfId="4" applyBorder="1" applyProtection="1"/>
    <xf numFmtId="0" fontId="5" fillId="0" borderId="1" xfId="0" applyFont="1" applyBorder="1" applyProtection="1"/>
    <xf numFmtId="0" fontId="6" fillId="0" borderId="3" xfId="0" applyFont="1" applyFill="1" applyBorder="1" applyAlignment="1" applyProtection="1">
      <alignment horizontal="right"/>
    </xf>
    <xf numFmtId="168" fontId="14" fillId="0" borderId="6" xfId="0" applyNumberFormat="1" applyFont="1" applyFill="1" applyBorder="1" applyProtection="1"/>
    <xf numFmtId="0" fontId="6" fillId="0" borderId="8" xfId="0" applyFont="1" applyFill="1" applyBorder="1" applyAlignment="1" applyProtection="1">
      <alignment horizontal="right"/>
    </xf>
    <xf numFmtId="0" fontId="14" fillId="0" borderId="26" xfId="0" applyFont="1" applyFill="1" applyBorder="1" applyAlignment="1" applyProtection="1"/>
    <xf numFmtId="0" fontId="6" fillId="0" borderId="26" xfId="0" applyFont="1" applyFill="1" applyBorder="1" applyAlignment="1" applyProtection="1"/>
    <xf numFmtId="0" fontId="5" fillId="8" borderId="1" xfId="0" applyFont="1" applyFill="1" applyBorder="1" applyProtection="1"/>
    <xf numFmtId="0" fontId="5" fillId="8" borderId="2" xfId="0" applyFont="1" applyFill="1" applyBorder="1" applyProtection="1"/>
    <xf numFmtId="0" fontId="0" fillId="8" borderId="3" xfId="0" applyFill="1" applyBorder="1" applyProtection="1"/>
    <xf numFmtId="0" fontId="5" fillId="8" borderId="4" xfId="0" applyFont="1" applyFill="1" applyBorder="1" applyProtection="1"/>
    <xf numFmtId="0" fontId="5" fillId="8" borderId="0" xfId="0" applyFont="1" applyFill="1" applyBorder="1" applyProtection="1"/>
    <xf numFmtId="0" fontId="28" fillId="8" borderId="0" xfId="5" applyBorder="1" applyProtection="1"/>
    <xf numFmtId="0" fontId="0" fillId="8" borderId="5" xfId="0" applyFill="1" applyBorder="1" applyProtection="1"/>
    <xf numFmtId="0" fontId="24" fillId="7" borderId="7" xfId="4" applyBorder="1" applyProtection="1">
      <protection locked="0"/>
    </xf>
    <xf numFmtId="167" fontId="5" fillId="0" borderId="7" xfId="0" applyNumberFormat="1" applyFont="1" applyBorder="1" applyProtection="1"/>
    <xf numFmtId="168" fontId="35" fillId="0" borderId="7" xfId="0" applyNumberFormat="1" applyFont="1" applyBorder="1" applyAlignment="1" applyProtection="1">
      <alignment horizontal="right"/>
    </xf>
    <xf numFmtId="0" fontId="7" fillId="10" borderId="11" xfId="0" applyFont="1" applyFill="1" applyBorder="1" applyAlignment="1" applyProtection="1">
      <alignment horizontal="left"/>
    </xf>
    <xf numFmtId="0" fontId="5" fillId="10" borderId="12" xfId="0" applyFont="1" applyFill="1" applyBorder="1" applyProtection="1"/>
    <xf numFmtId="0" fontId="0" fillId="8" borderId="0" xfId="0" applyFill="1" applyBorder="1" applyProtection="1"/>
    <xf numFmtId="173" fontId="43" fillId="7" borderId="9" xfId="4" applyNumberFormat="1" applyFont="1" applyProtection="1">
      <protection locked="0"/>
    </xf>
    <xf numFmtId="0" fontId="24" fillId="10" borderId="27" xfId="4" applyFill="1" applyBorder="1" applyAlignment="1" applyProtection="1">
      <alignment horizontal="right"/>
      <protection locked="0"/>
    </xf>
    <xf numFmtId="0" fontId="5" fillId="9" borderId="4" xfId="0" applyFont="1" applyFill="1" applyBorder="1" applyAlignment="1" applyProtection="1"/>
    <xf numFmtId="0" fontId="0" fillId="9" borderId="0" xfId="0" applyFill="1" applyBorder="1" applyAlignment="1"/>
    <xf numFmtId="8" fontId="5" fillId="0" borderId="7" xfId="0" applyNumberFormat="1" applyFont="1" applyBorder="1" applyProtection="1"/>
    <xf numFmtId="169" fontId="5" fillId="2" borderId="7" xfId="6" applyNumberFormat="1" applyFont="1" applyFill="1" applyBorder="1" applyAlignment="1" applyProtection="1">
      <alignment horizontal="center"/>
      <protection locked="0"/>
    </xf>
    <xf numFmtId="169" fontId="7" fillId="5" borderId="7" xfId="0" applyNumberFormat="1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9" fontId="7" fillId="4" borderId="22" xfId="0" applyNumberFormat="1" applyFont="1" applyFill="1" applyBorder="1" applyAlignment="1" applyProtection="1">
      <alignment horizontal="center"/>
    </xf>
    <xf numFmtId="169" fontId="7" fillId="4" borderId="23" xfId="0" applyNumberFormat="1" applyFont="1" applyFill="1" applyBorder="1" applyAlignment="1" applyProtection="1">
      <alignment horizontal="center"/>
    </xf>
    <xf numFmtId="175" fontId="3" fillId="0" borderId="0" xfId="0" applyNumberFormat="1" applyFont="1" applyAlignment="1" applyProtection="1">
      <alignment horizontal="left"/>
    </xf>
    <xf numFmtId="0" fontId="39" fillId="0" borderId="0" xfId="0" applyFont="1" applyAlignment="1" applyProtection="1">
      <alignment horizontal="center"/>
    </xf>
    <xf numFmtId="0" fontId="40" fillId="0" borderId="0" xfId="0" applyFont="1" applyAlignment="1">
      <alignment horizontal="center"/>
    </xf>
    <xf numFmtId="172" fontId="15" fillId="0" borderId="0" xfId="0" applyNumberFormat="1" applyFont="1" applyFill="1" applyAlignment="1" applyProtection="1">
      <alignment horizontal="right"/>
    </xf>
    <xf numFmtId="0" fontId="5" fillId="11" borderId="7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175" fontId="12" fillId="0" borderId="0" xfId="0" applyNumberFormat="1" applyFont="1" applyFill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1" fillId="12" borderId="1" xfId="0" applyFont="1" applyFill="1" applyBorder="1" applyAlignment="1" applyProtection="1">
      <alignment horizontal="center"/>
    </xf>
    <xf numFmtId="0" fontId="25" fillId="12" borderId="2" xfId="0" applyFont="1" applyFill="1" applyBorder="1" applyAlignment="1">
      <alignment horizontal="center"/>
    </xf>
    <xf numFmtId="0" fontId="25" fillId="12" borderId="3" xfId="0" applyFont="1" applyFill="1" applyBorder="1" applyAlignment="1">
      <alignment horizontal="center"/>
    </xf>
    <xf numFmtId="0" fontId="5" fillId="11" borderId="12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wrapText="1"/>
    </xf>
    <xf numFmtId="0" fontId="42" fillId="11" borderId="1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10" borderId="0" xfId="0" applyFont="1" applyFill="1" applyAlignment="1" applyProtection="1">
      <alignment horizontal="center" wrapText="1"/>
    </xf>
    <xf numFmtId="0" fontId="32" fillId="12" borderId="0" xfId="0" applyFont="1" applyFill="1" applyAlignment="1" applyProtection="1">
      <alignment horizontal="center"/>
    </xf>
    <xf numFmtId="0" fontId="25" fillId="12" borderId="0" xfId="0" applyFont="1" applyFill="1" applyAlignment="1" applyProtection="1">
      <alignment horizontal="center"/>
    </xf>
    <xf numFmtId="169" fontId="7" fillId="4" borderId="0" xfId="0" applyNumberFormat="1" applyFont="1" applyFill="1" applyBorder="1" applyAlignment="1" applyProtection="1">
      <alignment horizontal="center"/>
    </xf>
    <xf numFmtId="169" fontId="7" fillId="4" borderId="5" xfId="0" applyNumberFormat="1" applyFont="1" applyFill="1" applyBorder="1" applyAlignment="1" applyProtection="1">
      <alignment horizontal="center"/>
    </xf>
    <xf numFmtId="169" fontId="7" fillId="5" borderId="0" xfId="0" applyNumberFormat="1" applyFont="1" applyFill="1" applyBorder="1" applyAlignment="1" applyProtection="1">
      <alignment horizontal="center"/>
    </xf>
    <xf numFmtId="169" fontId="7" fillId="5" borderId="5" xfId="0" applyNumberFormat="1" applyFont="1" applyFill="1" applyBorder="1" applyAlignment="1" applyProtection="1">
      <alignment horizontal="center"/>
    </xf>
    <xf numFmtId="0" fontId="5" fillId="11" borderId="4" xfId="0" applyFont="1" applyFill="1" applyBorder="1" applyAlignment="1" applyProtection="1">
      <alignment horizontal="center"/>
    </xf>
    <xf numFmtId="0" fontId="0" fillId="11" borderId="0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5" fillId="11" borderId="6" xfId="0" applyFont="1" applyFill="1" applyBorder="1" applyAlignment="1" applyProtection="1">
      <alignment horizont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7" fillId="6" borderId="0" xfId="0" applyFont="1" applyFill="1" applyAlignment="1" applyProtection="1">
      <alignment horizontal="center"/>
    </xf>
    <xf numFmtId="181" fontId="5" fillId="0" borderId="10" xfId="0" applyNumberFormat="1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/>
    </xf>
    <xf numFmtId="0" fontId="35" fillId="10" borderId="10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7" fontId="5" fillId="0" borderId="10" xfId="0" applyNumberFormat="1" applyFont="1" applyBorder="1" applyAlignment="1" applyProtection="1">
      <alignment horizontal="center" vertical="center" wrapText="1"/>
    </xf>
    <xf numFmtId="178" fontId="5" fillId="0" borderId="10" xfId="0" applyNumberFormat="1" applyFont="1" applyBorder="1" applyAlignment="1" applyProtection="1">
      <alignment horizontal="center" vertical="center" wrapText="1"/>
    </xf>
    <xf numFmtId="179" fontId="5" fillId="0" borderId="10" xfId="0" applyNumberFormat="1" applyFont="1" applyBorder="1" applyAlignment="1" applyProtection="1">
      <alignment horizontal="center" vertical="center" wrapText="1"/>
    </xf>
    <xf numFmtId="180" fontId="5" fillId="0" borderId="10" xfId="0" applyNumberFormat="1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7" fillId="9" borderId="1" xfId="0" applyFont="1" applyFill="1" applyBorder="1" applyAlignment="1" applyProtection="1"/>
    <xf numFmtId="0" fontId="0" fillId="9" borderId="2" xfId="0" applyFill="1" applyBorder="1" applyAlignment="1"/>
    <xf numFmtId="0" fontId="0" fillId="9" borderId="3" xfId="0" applyFill="1" applyBorder="1" applyAlignment="1"/>
    <xf numFmtId="0" fontId="5" fillId="9" borderId="4" xfId="0" applyFont="1" applyFill="1" applyBorder="1" applyAlignment="1" applyProtection="1"/>
    <xf numFmtId="0" fontId="0" fillId="9" borderId="0" xfId="0" applyFill="1" applyBorder="1" applyAlignment="1"/>
    <xf numFmtId="0" fontId="0" fillId="9" borderId="5" xfId="0" applyFill="1" applyBorder="1" applyAlignment="1"/>
    <xf numFmtId="0" fontId="33" fillId="12" borderId="0" xfId="0" applyFont="1" applyFill="1" applyAlignment="1" applyProtection="1">
      <alignment wrapText="1"/>
    </xf>
    <xf numFmtId="0" fontId="25" fillId="12" borderId="0" xfId="0" applyFont="1" applyFill="1" applyAlignment="1"/>
    <xf numFmtId="0" fontId="5" fillId="9" borderId="0" xfId="0" applyFont="1" applyFill="1" applyAlignment="1" applyProtection="1">
      <alignment wrapText="1"/>
    </xf>
    <xf numFmtId="0" fontId="0" fillId="9" borderId="0" xfId="0" applyFill="1" applyAlignment="1"/>
    <xf numFmtId="0" fontId="33" fillId="12" borderId="14" xfId="0" applyFont="1" applyFill="1" applyBorder="1" applyAlignment="1" applyProtection="1">
      <alignment horizontal="left"/>
    </xf>
    <xf numFmtId="0" fontId="33" fillId="12" borderId="0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33" fillId="12" borderId="0" xfId="0" applyFont="1" applyFill="1" applyAlignment="1" applyProtection="1"/>
    <xf numFmtId="0" fontId="3" fillId="9" borderId="0" xfId="0" applyFont="1" applyFill="1" applyAlignment="1" applyProtection="1">
      <alignment wrapText="1"/>
    </xf>
    <xf numFmtId="0" fontId="34" fillId="12" borderId="0" xfId="0" applyFont="1" applyFill="1" applyAlignment="1"/>
    <xf numFmtId="171" fontId="5" fillId="0" borderId="10" xfId="0" applyNumberFormat="1" applyFont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0" fillId="0" borderId="0" xfId="0" applyFont="1" applyBorder="1" applyAlignment="1"/>
    <xf numFmtId="0" fontId="0" fillId="0" borderId="0" xfId="0" applyAlignment="1"/>
    <xf numFmtId="0" fontId="0" fillId="9" borderId="0" xfId="0" applyFont="1" applyFill="1" applyAlignment="1" applyProtection="1"/>
    <xf numFmtId="0" fontId="26" fillId="9" borderId="0" xfId="0" applyFont="1" applyFill="1" applyAlignment="1" applyProtection="1">
      <alignment wrapText="1"/>
    </xf>
    <xf numFmtId="0" fontId="8" fillId="9" borderId="0" xfId="0" applyFont="1" applyFill="1" applyAlignment="1" applyProtection="1">
      <alignment wrapText="1"/>
    </xf>
    <xf numFmtId="169" fontId="26" fillId="5" borderId="0" xfId="0" applyNumberFormat="1" applyFont="1" applyFill="1" applyAlignment="1" applyProtection="1">
      <alignment horizontal="left"/>
    </xf>
    <xf numFmtId="169" fontId="5" fillId="5" borderId="0" xfId="0" applyNumberFormat="1" applyFont="1" applyFill="1" applyAlignment="1" applyProtection="1">
      <alignment horizontal="left"/>
    </xf>
    <xf numFmtId="0" fontId="5" fillId="9" borderId="1" xfId="0" applyFont="1" applyFill="1" applyBorder="1" applyAlignment="1" applyProtection="1">
      <alignment wrapText="1"/>
    </xf>
    <xf numFmtId="0" fontId="0" fillId="9" borderId="2" xfId="0" applyFill="1" applyBorder="1" applyAlignment="1">
      <alignment wrapText="1"/>
    </xf>
    <xf numFmtId="0" fontId="24" fillId="7" borderId="13" xfId="4" applyBorder="1" applyAlignment="1" applyProtection="1">
      <alignment wrapText="1"/>
    </xf>
    <xf numFmtId="0" fontId="36" fillId="10" borderId="10" xfId="0" applyFont="1" applyFill="1" applyBorder="1" applyAlignment="1"/>
    <xf numFmtId="170" fontId="5" fillId="0" borderId="10" xfId="0" applyNumberFormat="1" applyFont="1" applyBorder="1" applyAlignment="1" applyProtection="1">
      <alignment horizontal="center" vertical="center" wrapText="1"/>
    </xf>
    <xf numFmtId="0" fontId="0" fillId="0" borderId="10" xfId="0" applyFont="1" applyBorder="1" applyAlignment="1"/>
    <xf numFmtId="0" fontId="35" fillId="0" borderId="2" xfId="0" applyFont="1" applyBorder="1" applyAlignment="1" applyProtection="1">
      <alignment horizontal="right"/>
    </xf>
  </cellXfs>
  <cellStyles count="7">
    <cellStyle name="Calculation" xfId="4" builtinId="22"/>
    <cellStyle name="Currency" xfId="6" builtinId="4"/>
    <cellStyle name="Hyperlink" xfId="5" builtinId="8" customBuiltin="1"/>
    <cellStyle name="Normal" xfId="0" builtinId="0"/>
    <cellStyle name="Normal 2" xfId="2" xr:uid="{00000000-0005-0000-0000-000001000000}"/>
    <cellStyle name="Normal 3" xfId="1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007377"/>
      <color rgb="FF00447A"/>
      <color rgb="FFFFFA19"/>
      <color rgb="FFC4D79B"/>
      <color rgb="FFC5D9F1"/>
      <color rgb="FFEB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Conventional</c:v>
          </c:tx>
          <c:marker>
            <c:symbol val="none"/>
          </c:marker>
          <c:val>
            <c:numRef>
              <c:f>'Graph Data'!$B$2:$B$21</c:f>
              <c:numCache>
                <c:formatCode>General</c:formatCode>
                <c:ptCount val="20"/>
                <c:pt idx="0">
                  <c:v>715670.02819548873</c:v>
                </c:pt>
                <c:pt idx="1">
                  <c:v>1431340.0563909775</c:v>
                </c:pt>
                <c:pt idx="2">
                  <c:v>2147010.0845864662</c:v>
                </c:pt>
                <c:pt idx="3">
                  <c:v>2862680.1127819549</c:v>
                </c:pt>
                <c:pt idx="4">
                  <c:v>3578350.1409774437</c:v>
                </c:pt>
                <c:pt idx="5">
                  <c:v>4294020.1691729324</c:v>
                </c:pt>
                <c:pt idx="6">
                  <c:v>5009690.1973684207</c:v>
                </c:pt>
                <c:pt idx="7">
                  <c:v>5725360.2255639099</c:v>
                </c:pt>
                <c:pt idx="8">
                  <c:v>6441030.2537593991</c:v>
                </c:pt>
                <c:pt idx="9">
                  <c:v>7156700.2819548883</c:v>
                </c:pt>
                <c:pt idx="10">
                  <c:v>7872370.3101503775</c:v>
                </c:pt>
                <c:pt idx="11">
                  <c:v>8588040.3383458667</c:v>
                </c:pt>
                <c:pt idx="12">
                  <c:v>9303710.3665413558</c:v>
                </c:pt>
                <c:pt idx="13">
                  <c:v>10019380.394736845</c:v>
                </c:pt>
                <c:pt idx="14">
                  <c:v>10735050.422932334</c:v>
                </c:pt>
                <c:pt idx="15">
                  <c:v>11450720.451127823</c:v>
                </c:pt>
                <c:pt idx="16">
                  <c:v>12166390.479323313</c:v>
                </c:pt>
                <c:pt idx="17">
                  <c:v>12882060.507518802</c:v>
                </c:pt>
                <c:pt idx="18">
                  <c:v>13597730.535714291</c:v>
                </c:pt>
                <c:pt idx="19">
                  <c:v>14313400.56390978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1-47DF-8CCE-7146D1AAE69E}"/>
            </c:ext>
          </c:extLst>
        </c:ser>
        <c:ser>
          <c:idx val="1"/>
          <c:order val="1"/>
          <c:tx>
            <c:v>Hydro AGM</c:v>
          </c:tx>
          <c:marker>
            <c:symbol val="none"/>
          </c:marker>
          <c:val>
            <c:numRef>
              <c:f>'Graph Data'!$C$2:$C$21</c:f>
              <c:numCache>
                <c:formatCode>General</c:formatCode>
                <c:ptCount val="20"/>
                <c:pt idx="0">
                  <c:v>143134.00563909771</c:v>
                </c:pt>
                <c:pt idx="1">
                  <c:v>286268.01127819542</c:v>
                </c:pt>
                <c:pt idx="2">
                  <c:v>429402.01691729313</c:v>
                </c:pt>
                <c:pt idx="3">
                  <c:v>572536.02255639085</c:v>
                </c:pt>
                <c:pt idx="4">
                  <c:v>715670.0281954885</c:v>
                </c:pt>
                <c:pt idx="5">
                  <c:v>858804.03383458615</c:v>
                </c:pt>
                <c:pt idx="6">
                  <c:v>1001938.0394736838</c:v>
                </c:pt>
                <c:pt idx="7">
                  <c:v>1145072.0451127815</c:v>
                </c:pt>
                <c:pt idx="8">
                  <c:v>1288206.0507518791</c:v>
                </c:pt>
                <c:pt idx="9">
                  <c:v>1431340.0563909768</c:v>
                </c:pt>
                <c:pt idx="10">
                  <c:v>1574474.0620300744</c:v>
                </c:pt>
                <c:pt idx="11">
                  <c:v>1717608.0676691721</c:v>
                </c:pt>
                <c:pt idx="12">
                  <c:v>1860742.0733082697</c:v>
                </c:pt>
                <c:pt idx="13">
                  <c:v>2003876.0789473674</c:v>
                </c:pt>
                <c:pt idx="14">
                  <c:v>2147010.0845864653</c:v>
                </c:pt>
                <c:pt idx="15">
                  <c:v>2290144.0902255629</c:v>
                </c:pt>
                <c:pt idx="16">
                  <c:v>2433278.0958646606</c:v>
                </c:pt>
                <c:pt idx="17">
                  <c:v>2576412.1015037582</c:v>
                </c:pt>
                <c:pt idx="18">
                  <c:v>2719546.1071428559</c:v>
                </c:pt>
                <c:pt idx="19">
                  <c:v>2862680.1127819535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1-47DF-8CCE-7146D1AA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9840"/>
        <c:axId val="71966016"/>
      </c:lineChart>
      <c:catAx>
        <c:axId val="12777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sz="1200"/>
                  <a:t>Years</a:t>
                </a:r>
              </a:p>
            </c:rich>
          </c:tx>
          <c:overlay val="0"/>
        </c:title>
        <c:majorTickMark val="out"/>
        <c:minorTickMark val="none"/>
        <c:tickLblPos val="nextTo"/>
        <c:crossAx val="71966016"/>
        <c:crosses val="autoZero"/>
        <c:auto val="1"/>
        <c:lblAlgn val="ctr"/>
        <c:lblOffset val="100"/>
        <c:noMultiLvlLbl val="0"/>
      </c:catAx>
      <c:valAx>
        <c:axId val="71966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CA" sz="1200"/>
                  <a:t>Cost ($)</a:t>
                </a:r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27779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v>Conventional</c:v>
          </c:tx>
          <c:invertIfNegative val="0"/>
          <c:cat>
            <c:strRef>
              <c:f>('Cost of Grit'!$F$57,'Cost of Grit'!$C$14,'Cost of Grit'!$C$18,'Cost of Grit'!$C$22,'Cost of Grit'!$C$30,'Cost of Grit'!$C$34,'Cost of Grit'!$C$38,'Cost of Grit'!$C$42)</c:f>
              <c:strCache>
                <c:ptCount val="8"/>
                <c:pt idx="0">
                  <c:v>Total</c:v>
                </c:pt>
                <c:pt idx="1">
                  <c:v>Task: Grit Tank Cleaning</c:v>
                </c:pt>
                <c:pt idx="2">
                  <c:v>Task: Primary Clarifier Maintenance</c:v>
                </c:pt>
                <c:pt idx="3">
                  <c:v>Task: Aeration Basin Cleaning</c:v>
                </c:pt>
                <c:pt idx="4">
                  <c:v>Task: Pump Maintenance</c:v>
                </c:pt>
                <c:pt idx="5">
                  <c:v>Task: Digester Cleaning</c:v>
                </c:pt>
                <c:pt idx="6">
                  <c:v>Task: Centrifuge Wear</c:v>
                </c:pt>
                <c:pt idx="7">
                  <c:v>Enter Custom Grit Impact (Annual)</c:v>
                </c:pt>
              </c:strCache>
            </c:strRef>
          </c:cat>
          <c:val>
            <c:numRef>
              <c:f>('Cost of Grit'!$H$57,'Cost of Grit'!$Q$15,'Cost of Grit'!$Q$19,'Cost of Grit'!$Q$23,'Cost of Grit'!$Q$31,'Cost of Grit'!$Q$35,'Cost of Grit'!$Q$39)</c:f>
              <c:numCache>
                <c:formatCode>"$"#,##0\ " per year"</c:formatCode>
                <c:ptCount val="1"/>
                <c:pt idx="0">
                  <c:v>715670.02819548873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D-4DB8-B436-E225F060F599}"/>
            </c:ext>
          </c:extLst>
        </c:ser>
        <c:ser>
          <c:idx val="0"/>
          <c:order val="1"/>
          <c:tx>
            <c:v>Hydro AGM</c:v>
          </c:tx>
          <c:invertIfNegative val="0"/>
          <c:cat>
            <c:strRef>
              <c:f>('Cost of Grit'!$F$57,'Cost of Grit'!$C$14,'Cost of Grit'!$C$18,'Cost of Grit'!$C$22,'Cost of Grit'!$C$30,'Cost of Grit'!$C$34,'Cost of Grit'!$C$38,'Cost of Grit'!$C$42)</c:f>
              <c:strCache>
                <c:ptCount val="8"/>
                <c:pt idx="0">
                  <c:v>Total</c:v>
                </c:pt>
                <c:pt idx="1">
                  <c:v>Task: Grit Tank Cleaning</c:v>
                </c:pt>
                <c:pt idx="2">
                  <c:v>Task: Primary Clarifier Maintenance</c:v>
                </c:pt>
                <c:pt idx="3">
                  <c:v>Task: Aeration Basin Cleaning</c:v>
                </c:pt>
                <c:pt idx="4">
                  <c:v>Task: Pump Maintenance</c:v>
                </c:pt>
                <c:pt idx="5">
                  <c:v>Task: Digester Cleaning</c:v>
                </c:pt>
                <c:pt idx="6">
                  <c:v>Task: Centrifuge Wear</c:v>
                </c:pt>
                <c:pt idx="7">
                  <c:v>Enter Custom Grit Impact (Annual)</c:v>
                </c:pt>
              </c:strCache>
            </c:strRef>
          </c:cat>
          <c:val>
            <c:numRef>
              <c:f>('Cost of Grit'!$N$57,'Cost of Grit'!$P$15,'Cost of Grit'!$P$19,'Cost of Grit'!$P$23,'Cost of Grit'!$P$31,'Cost of Grit'!$P$35,'Cost of Grit'!$P$39)</c:f>
              <c:numCache>
                <c:formatCode>"$"#,##0\ " per year"</c:formatCode>
                <c:ptCount val="1"/>
                <c:pt idx="0">
                  <c:v>143134.00563909771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D-4DB8-B436-E225F06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780352"/>
        <c:axId val="546468928"/>
      </c:barChart>
      <c:catAx>
        <c:axId val="1277803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46468928"/>
        <c:crosses val="autoZero"/>
        <c:auto val="1"/>
        <c:lblAlgn val="ctr"/>
        <c:lblOffset val="100"/>
        <c:noMultiLvlLbl val="0"/>
      </c:catAx>
      <c:valAx>
        <c:axId val="546468928"/>
        <c:scaling>
          <c:orientation val="minMax"/>
        </c:scaling>
        <c:delete val="0"/>
        <c:axPos val="t"/>
        <c:majorGridlines/>
        <c:numFmt formatCode="&quot;$&quot;#,###" sourceLinked="0"/>
        <c:majorTickMark val="out"/>
        <c:minorTickMark val="none"/>
        <c:tickLblPos val="nextTo"/>
        <c:crossAx val="1277803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258876</xdr:colOff>
      <xdr:row>96</xdr:row>
      <xdr:rowOff>58831</xdr:rowOff>
    </xdr:from>
    <xdr:to>
      <xdr:col>14</xdr:col>
      <xdr:colOff>38100</xdr:colOff>
      <xdr:row>128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239820</xdr:colOff>
      <xdr:row>129</xdr:row>
      <xdr:rowOff>174842</xdr:rowOff>
    </xdr:from>
    <xdr:to>
      <xdr:col>14</xdr:col>
      <xdr:colOff>76200</xdr:colOff>
      <xdr:row>154</xdr:row>
      <xdr:rowOff>185739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212481</xdr:colOff>
      <xdr:row>0</xdr:row>
      <xdr:rowOff>117231</xdr:rowOff>
    </xdr:from>
    <xdr:to>
      <xdr:col>3</xdr:col>
      <xdr:colOff>1274884</xdr:colOff>
      <xdr:row>2</xdr:row>
      <xdr:rowOff>189614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781" y="117231"/>
          <a:ext cx="1395778" cy="491483"/>
        </a:xfrm>
        <a:prstGeom prst="rect">
          <a:avLst/>
        </a:prstGeom>
      </xdr:spPr>
    </xdr:pic>
    <xdr:clientData/>
  </xdr:twoCellAnchor>
  <xdr:twoCellAnchor>
    <xdr:from>
      <xdr:col>5</xdr:col>
      <xdr:colOff>1370134</xdr:colOff>
      <xdr:row>0</xdr:row>
      <xdr:rowOff>117231</xdr:rowOff>
    </xdr:from>
    <xdr:to>
      <xdr:col>9</xdr:col>
      <xdr:colOff>1611924</xdr:colOff>
      <xdr:row>3</xdr:row>
      <xdr:rowOff>117231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903909" y="117231"/>
          <a:ext cx="371841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Cost of Grit Calculator                                                 </a:t>
          </a:r>
        </a:p>
      </xdr:txBody>
    </xdr:sp>
    <xdr:clientData/>
  </xdr:twoCellAnchor>
  <xdr:twoCellAnchor editAs="oneCell">
    <xdr:from>
      <xdr:col>2</xdr:col>
      <xdr:colOff>95250</xdr:colOff>
      <xdr:row>84</xdr:row>
      <xdr:rowOff>38100</xdr:rowOff>
    </xdr:from>
    <xdr:to>
      <xdr:col>3</xdr:col>
      <xdr:colOff>1157653</xdr:colOff>
      <xdr:row>86</xdr:row>
      <xdr:rowOff>72383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7506950"/>
          <a:ext cx="1424353" cy="491483"/>
        </a:xfrm>
        <a:prstGeom prst="rect">
          <a:avLst/>
        </a:prstGeom>
      </xdr:spPr>
    </xdr:pic>
    <xdr:clientData/>
  </xdr:twoCellAnchor>
  <xdr:twoCellAnchor>
    <xdr:from>
      <xdr:col>4</xdr:col>
      <xdr:colOff>752475</xdr:colOff>
      <xdr:row>84</xdr:row>
      <xdr:rowOff>57150</xdr:rowOff>
    </xdr:from>
    <xdr:to>
      <xdr:col>12</xdr:col>
      <xdr:colOff>276225</xdr:colOff>
      <xdr:row>87</xdr:row>
      <xdr:rowOff>95250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257550" y="17335500"/>
          <a:ext cx="737235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Your Savings With Advanced Grit</a:t>
          </a:r>
          <a:r>
            <a:rPr lang="en-US" sz="24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Management Systems </a:t>
          </a:r>
          <a:endParaRPr lang="en-US" sz="24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367861</xdr:colOff>
      <xdr:row>9</xdr:row>
      <xdr:rowOff>43793</xdr:rowOff>
    </xdr:from>
    <xdr:to>
      <xdr:col>1</xdr:col>
      <xdr:colOff>45982</xdr:colOff>
      <xdr:row>10</xdr:row>
      <xdr:rowOff>184747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861" y="2434896"/>
          <a:ext cx="5071242" cy="331454"/>
        </a:xfrm>
        <a:prstGeom prst="rect">
          <a:avLst/>
        </a:prstGeom>
      </xdr:spPr>
    </xdr:pic>
    <xdr:clientData/>
  </xdr:twoCellAnchor>
  <xdr:twoCellAnchor>
    <xdr:from>
      <xdr:col>0</xdr:col>
      <xdr:colOff>3015155</xdr:colOff>
      <xdr:row>9</xdr:row>
      <xdr:rowOff>72259</xdr:rowOff>
    </xdr:from>
    <xdr:to>
      <xdr:col>0</xdr:col>
      <xdr:colOff>3376448</xdr:colOff>
      <xdr:row>10</xdr:row>
      <xdr:rowOff>151087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10800000">
          <a:off x="3015155" y="2463362"/>
          <a:ext cx="361293" cy="269328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85396</xdr:colOff>
      <xdr:row>9</xdr:row>
      <xdr:rowOff>65689</xdr:rowOff>
    </xdr:from>
    <xdr:to>
      <xdr:col>1</xdr:col>
      <xdr:colOff>446689</xdr:colOff>
      <xdr:row>10</xdr:row>
      <xdr:rowOff>144517</xdr:rowOff>
    </xdr:to>
    <xdr:sp macro="" textlink="">
      <xdr:nvSpPr>
        <xdr:cNvPr id="8" name="Arrow: Righ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10800000">
          <a:off x="5478517" y="2456792"/>
          <a:ext cx="361293" cy="269328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3330465</xdr:colOff>
      <xdr:row>9</xdr:row>
      <xdr:rowOff>72259</xdr:rowOff>
    </xdr:from>
    <xdr:to>
      <xdr:col>0</xdr:col>
      <xdr:colOff>3619500</xdr:colOff>
      <xdr:row>10</xdr:row>
      <xdr:rowOff>118242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330465" y="2463362"/>
          <a:ext cx="289035" cy="236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C00000"/>
              </a:solidFill>
            </a:rPr>
            <a:t>A</a:t>
          </a:r>
        </a:p>
      </xdr:txBody>
    </xdr:sp>
    <xdr:clientData/>
  </xdr:twoCellAnchor>
  <xdr:twoCellAnchor>
    <xdr:from>
      <xdr:col>1</xdr:col>
      <xdr:colOff>420413</xdr:colOff>
      <xdr:row>9</xdr:row>
      <xdr:rowOff>45982</xdr:rowOff>
    </xdr:from>
    <xdr:to>
      <xdr:col>1</xdr:col>
      <xdr:colOff>709448</xdr:colOff>
      <xdr:row>10</xdr:row>
      <xdr:rowOff>91965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813534" y="2437085"/>
          <a:ext cx="289035" cy="236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0</xdr:col>
      <xdr:colOff>56029</xdr:colOff>
      <xdr:row>35</xdr:row>
      <xdr:rowOff>18112</xdr:rowOff>
    </xdr:from>
    <xdr:to>
      <xdr:col>4</xdr:col>
      <xdr:colOff>1411942</xdr:colOff>
      <xdr:row>50</xdr:row>
      <xdr:rowOff>179294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445" t="50063" r="39520" b="20492"/>
        <a:stretch/>
      </xdr:blipFill>
      <xdr:spPr>
        <a:xfrm>
          <a:off x="56029" y="5363318"/>
          <a:ext cx="10981766" cy="3018682"/>
        </a:xfrm>
        <a:prstGeom prst="rect">
          <a:avLst/>
        </a:prstGeom>
      </xdr:spPr>
    </xdr:pic>
    <xdr:clientData/>
  </xdr:twoCellAnchor>
  <xdr:twoCellAnchor>
    <xdr:from>
      <xdr:col>0</xdr:col>
      <xdr:colOff>4660873</xdr:colOff>
      <xdr:row>42</xdr:row>
      <xdr:rowOff>113990</xdr:rowOff>
    </xdr:from>
    <xdr:to>
      <xdr:col>0</xdr:col>
      <xdr:colOff>5019074</xdr:colOff>
      <xdr:row>43</xdr:row>
      <xdr:rowOff>159973</xdr:rowOff>
    </xdr:to>
    <xdr:sp macro="" textlink="">
      <xdr:nvSpPr>
        <xdr:cNvPr id="21" name="Arrow: Right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 rot="10800000">
          <a:off x="4660873" y="7173696"/>
          <a:ext cx="358201" cy="236483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4986618</xdr:colOff>
      <xdr:row>42</xdr:row>
      <xdr:rowOff>100852</xdr:rowOff>
    </xdr:from>
    <xdr:to>
      <xdr:col>0</xdr:col>
      <xdr:colOff>5272561</xdr:colOff>
      <xdr:row>43</xdr:row>
      <xdr:rowOff>153404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986618" y="7160558"/>
          <a:ext cx="285943" cy="243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E</a:t>
          </a:r>
        </a:p>
      </xdr:txBody>
    </xdr:sp>
    <xdr:clientData/>
  </xdr:twoCellAnchor>
  <xdr:twoCellAnchor>
    <xdr:from>
      <xdr:col>0</xdr:col>
      <xdr:colOff>4538383</xdr:colOff>
      <xdr:row>48</xdr:row>
      <xdr:rowOff>1932</xdr:rowOff>
    </xdr:from>
    <xdr:to>
      <xdr:col>0</xdr:col>
      <xdr:colOff>4896584</xdr:colOff>
      <xdr:row>49</xdr:row>
      <xdr:rowOff>47915</xdr:rowOff>
    </xdr:to>
    <xdr:sp macro="" textlink="">
      <xdr:nvSpPr>
        <xdr:cNvPr id="23" name="Arrow: Right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 rot="10800000">
          <a:off x="4538383" y="8372726"/>
          <a:ext cx="358201" cy="236483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4864128</xdr:colOff>
      <xdr:row>47</xdr:row>
      <xdr:rowOff>179294</xdr:rowOff>
    </xdr:from>
    <xdr:to>
      <xdr:col>0</xdr:col>
      <xdr:colOff>5150071</xdr:colOff>
      <xdr:row>49</xdr:row>
      <xdr:rowOff>41346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4864128" y="8359588"/>
          <a:ext cx="285943" cy="243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F</a:t>
          </a:r>
        </a:p>
      </xdr:txBody>
    </xdr:sp>
    <xdr:clientData/>
  </xdr:twoCellAnchor>
  <xdr:twoCellAnchor editAs="oneCell">
    <xdr:from>
      <xdr:col>0</xdr:col>
      <xdr:colOff>414616</xdr:colOff>
      <xdr:row>21</xdr:row>
      <xdr:rowOff>22411</xdr:rowOff>
    </xdr:from>
    <xdr:to>
      <xdr:col>3</xdr:col>
      <xdr:colOff>445692</xdr:colOff>
      <xdr:row>29</xdr:row>
      <xdr:rowOff>11206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16087-7718-4823-A8FF-6160DD5160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516" t="48235" r="61980" b="39623"/>
        <a:stretch/>
      </xdr:blipFill>
      <xdr:spPr>
        <a:xfrm>
          <a:off x="414616" y="4381499"/>
          <a:ext cx="7550223" cy="1512795"/>
        </a:xfrm>
        <a:prstGeom prst="rect">
          <a:avLst/>
        </a:prstGeom>
      </xdr:spPr>
    </xdr:pic>
    <xdr:clientData/>
  </xdr:twoCellAnchor>
  <xdr:twoCellAnchor>
    <xdr:from>
      <xdr:col>0</xdr:col>
      <xdr:colOff>2095500</xdr:colOff>
      <xdr:row>27</xdr:row>
      <xdr:rowOff>34005</xdr:rowOff>
    </xdr:from>
    <xdr:to>
      <xdr:col>0</xdr:col>
      <xdr:colOff>2456793</xdr:colOff>
      <xdr:row>28</xdr:row>
      <xdr:rowOff>112833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2095500" y="5536093"/>
          <a:ext cx="361293" cy="269328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2414675</xdr:colOff>
      <xdr:row>27</xdr:row>
      <xdr:rowOff>34004</xdr:rowOff>
    </xdr:from>
    <xdr:to>
      <xdr:col>0</xdr:col>
      <xdr:colOff>2703710</xdr:colOff>
      <xdr:row>28</xdr:row>
      <xdr:rowOff>79987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414675" y="5536092"/>
          <a:ext cx="289035" cy="236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0</xdr:col>
      <xdr:colOff>459054</xdr:colOff>
      <xdr:row>26</xdr:row>
      <xdr:rowOff>66462</xdr:rowOff>
    </xdr:from>
    <xdr:to>
      <xdr:col>0</xdr:col>
      <xdr:colOff>820347</xdr:colOff>
      <xdr:row>27</xdr:row>
      <xdr:rowOff>112445</xdr:rowOff>
    </xdr:to>
    <xdr:sp macro="" textlink="">
      <xdr:nvSpPr>
        <xdr:cNvPr id="13" name="Arrow: Righ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59054" y="5378050"/>
          <a:ext cx="361293" cy="236483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241506</xdr:colOff>
      <xdr:row>26</xdr:row>
      <xdr:rowOff>53325</xdr:rowOff>
    </xdr:from>
    <xdr:to>
      <xdr:col>0</xdr:col>
      <xdr:colOff>524746</xdr:colOff>
      <xdr:row>27</xdr:row>
      <xdr:rowOff>105877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1506" y="5364913"/>
          <a:ext cx="283240" cy="243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3</xdr:col>
      <xdr:colOff>405344</xdr:colOff>
      <xdr:row>26</xdr:row>
      <xdr:rowOff>95443</xdr:rowOff>
    </xdr:from>
    <xdr:to>
      <xdr:col>3</xdr:col>
      <xdr:colOff>766637</xdr:colOff>
      <xdr:row>27</xdr:row>
      <xdr:rowOff>174271</xdr:rowOff>
    </xdr:to>
    <xdr:sp macro="" textlink="">
      <xdr:nvSpPr>
        <xdr:cNvPr id="18" name="Arrow: Right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 rot="10800000">
          <a:off x="7924491" y="5407031"/>
          <a:ext cx="361293" cy="269328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746931</xdr:colOff>
      <xdr:row>26</xdr:row>
      <xdr:rowOff>95443</xdr:rowOff>
    </xdr:from>
    <xdr:to>
      <xdr:col>3</xdr:col>
      <xdr:colOff>1035966</xdr:colOff>
      <xdr:row>27</xdr:row>
      <xdr:rowOff>141426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266078" y="5407031"/>
          <a:ext cx="289035" cy="236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ydro-int.com/en" TargetMode="External"/><Relationship Id="rId1" Type="http://schemas.openxmlformats.org/officeDocument/2006/relationships/hyperlink" Target="https://www.hydro-int.com/en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X171"/>
  <sheetViews>
    <sheetView showGridLines="0" showRowColHeaders="0" tabSelected="1" zoomScaleNormal="100" zoomScaleSheetLayoutView="100" workbookViewId="0">
      <selection activeCell="F208" sqref="F208"/>
    </sheetView>
  </sheetViews>
  <sheetFormatPr defaultColWidth="9.140625" defaultRowHeight="15"/>
  <cols>
    <col min="1" max="1" width="9.140625" style="2"/>
    <col min="2" max="2" width="4" style="2" customWidth="1"/>
    <col min="3" max="3" width="5" style="2" customWidth="1"/>
    <col min="4" max="4" width="19.42578125" style="2" customWidth="1"/>
    <col min="5" max="5" width="15.42578125" style="2" customWidth="1"/>
    <col min="6" max="6" width="24.42578125" style="2" customWidth="1"/>
    <col min="7" max="7" width="1.140625" style="2" customWidth="1"/>
    <col min="8" max="8" width="25.28515625" style="2" bestFit="1" customWidth="1"/>
    <col min="9" max="9" width="1.28515625" style="2" customWidth="1"/>
    <col min="10" max="10" width="31.5703125" style="2" customWidth="1"/>
    <col min="11" max="11" width="7.140625" style="2" customWidth="1"/>
    <col min="12" max="13" width="11.42578125" style="2" customWidth="1"/>
    <col min="14" max="14" width="23" style="2" customWidth="1"/>
    <col min="15" max="15" width="3.7109375" style="12" customWidth="1"/>
    <col min="16" max="16" width="23.28515625" style="73" hidden="1" customWidth="1"/>
    <col min="17" max="17" width="9.5703125" style="73" hidden="1" customWidth="1"/>
    <col min="18" max="21" width="0" style="2" hidden="1" customWidth="1"/>
    <col min="22" max="16384" width="9.140625" style="2"/>
  </cols>
  <sheetData>
    <row r="1" spans="2:18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79"/>
      <c r="Q1" s="74"/>
    </row>
    <row r="2" spans="2:18" ht="18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5" t="s">
        <v>81</v>
      </c>
      <c r="O2" s="179"/>
      <c r="Q2" s="74"/>
    </row>
    <row r="3" spans="2:18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179"/>
      <c r="Q3" s="74"/>
    </row>
    <row r="4" spans="2:18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179"/>
      <c r="Q4" s="74"/>
    </row>
    <row r="5" spans="2:18" s="19" customFormat="1" ht="14.25">
      <c r="P5" s="76"/>
      <c r="Q5" s="76"/>
    </row>
    <row r="6" spans="2:18" ht="18">
      <c r="C6" s="77"/>
      <c r="D6" s="78"/>
      <c r="E6" s="78"/>
      <c r="F6" s="79" t="s">
        <v>19</v>
      </c>
      <c r="G6" s="78"/>
      <c r="H6" s="173" t="s">
        <v>137</v>
      </c>
      <c r="I6" s="198"/>
      <c r="J6" s="80"/>
      <c r="K6" s="81"/>
      <c r="L6" s="81"/>
      <c r="M6" s="82" t="s">
        <v>12</v>
      </c>
      <c r="N6" s="175" t="s">
        <v>102</v>
      </c>
    </row>
    <row r="7" spans="2:18" ht="18">
      <c r="C7" s="83"/>
      <c r="D7" s="84"/>
      <c r="E7" s="84"/>
      <c r="F7" s="85" t="s">
        <v>82</v>
      </c>
      <c r="G7" s="84"/>
      <c r="H7" s="174">
        <v>25</v>
      </c>
      <c r="I7" s="199"/>
      <c r="J7" s="86"/>
      <c r="K7" s="87"/>
      <c r="L7" s="88"/>
      <c r="M7" s="89" t="s">
        <v>13</v>
      </c>
      <c r="N7" s="175" t="s">
        <v>126</v>
      </c>
      <c r="Q7" s="90"/>
    </row>
    <row r="8" spans="2:18" ht="18">
      <c r="C8" s="106"/>
      <c r="D8" s="163"/>
      <c r="E8" s="163"/>
      <c r="F8" s="96"/>
      <c r="G8" s="96"/>
      <c r="H8" s="96"/>
      <c r="I8" s="96"/>
      <c r="J8" s="96"/>
      <c r="K8" s="96"/>
      <c r="L8" s="96"/>
      <c r="M8" s="96"/>
      <c r="N8" s="96"/>
      <c r="Q8" s="90"/>
    </row>
    <row r="9" spans="2:18">
      <c r="B9" s="239" t="s">
        <v>136</v>
      </c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1"/>
      <c r="Q9" s="90"/>
    </row>
    <row r="10" spans="2:18">
      <c r="B10" s="249" t="s">
        <v>138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1"/>
      <c r="Q10" s="90"/>
    </row>
    <row r="11" spans="2:18" ht="15" customHeight="1">
      <c r="B11" s="252" t="s">
        <v>139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4"/>
      <c r="P11" s="91"/>
    </row>
    <row r="12" spans="2:18" ht="45" customHeight="1">
      <c r="C12" s="1" t="s">
        <v>79</v>
      </c>
      <c r="H12" s="178" t="s">
        <v>134</v>
      </c>
      <c r="J12" s="92" t="s">
        <v>133</v>
      </c>
      <c r="K12" s="93"/>
      <c r="L12" s="242" t="str">
        <f xml:space="preserve"> CONCATENATE( "Your Annual Cost of Grit (with conventional system) for ",H6)</f>
        <v>Your Annual Cost of Grit (with conventional system) for Your Plant</v>
      </c>
      <c r="M12" s="242"/>
      <c r="N12" s="242"/>
      <c r="O12" s="19"/>
      <c r="P12" s="91"/>
      <c r="Q12" s="94"/>
      <c r="R12" s="95"/>
    </row>
    <row r="13" spans="2:18" ht="12.75" customHeight="1">
      <c r="B13" s="98"/>
      <c r="C13" s="97"/>
      <c r="D13" s="98"/>
      <c r="E13" s="98"/>
      <c r="F13" s="99" t="s">
        <v>80</v>
      </c>
      <c r="G13" s="98"/>
      <c r="H13" s="98"/>
      <c r="I13" s="98"/>
      <c r="J13" s="99" t="s">
        <v>125</v>
      </c>
      <c r="K13" s="98"/>
      <c r="L13" s="243" t="s">
        <v>88</v>
      </c>
      <c r="M13" s="243"/>
      <c r="N13" s="244"/>
      <c r="O13" s="98"/>
      <c r="P13" s="76"/>
      <c r="R13" s="95"/>
    </row>
    <row r="14" spans="2:18" ht="14.25">
      <c r="C14" s="180" t="s">
        <v>87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51"/>
      <c r="O14" s="19"/>
      <c r="P14" s="102" t="s">
        <v>44</v>
      </c>
      <c r="Q14" s="73" t="s">
        <v>51</v>
      </c>
      <c r="R14" s="95"/>
    </row>
    <row r="15" spans="2:18">
      <c r="C15" s="103"/>
      <c r="D15" s="176" t="s">
        <v>62</v>
      </c>
      <c r="E15" s="104" t="s">
        <v>50</v>
      </c>
      <c r="F15" s="105">
        <f>VLOOKUP($D$15,'Plant Data'!A4:F8,3,FALSE)</f>
        <v>19</v>
      </c>
      <c r="G15" s="106"/>
      <c r="H15" s="187" t="s">
        <v>140</v>
      </c>
      <c r="I15" s="106"/>
      <c r="J15" s="177">
        <f>VLOOKUP($D$15,'Plant Data'!A4:F8,5,FALSE)</f>
        <v>12.112472963229992</v>
      </c>
      <c r="K15" s="106"/>
      <c r="L15" s="247">
        <f>(Grit_Tank_Cleaning*Average_FLow*365)+H16</f>
        <v>110526.31578947369</v>
      </c>
      <c r="M15" s="247"/>
      <c r="N15" s="248"/>
      <c r="O15" s="19"/>
      <c r="P15" s="107">
        <f>(Grit_Tank_Cost*2)*(1-hydro_efficiency)</f>
        <v>22105.263157894733</v>
      </c>
      <c r="Q15" s="107">
        <f>(Grit_Tank_Cost*2) *(1-existing_efficiency)</f>
        <v>110526.31578947369</v>
      </c>
      <c r="R15" s="95"/>
    </row>
    <row r="16" spans="2:18">
      <c r="C16" s="103"/>
      <c r="D16" s="108" t="str">
        <f>VLOOKUP($D$15,'Plant Data'!A4:F8,2,FALSE)</f>
        <v>HRSD Chesapeake Elizabeth plant (19 MGD Avg, 24 MGD Peak)</v>
      </c>
      <c r="E16" s="106"/>
      <c r="F16" s="106"/>
      <c r="G16" s="106"/>
      <c r="H16" s="188">
        <v>0</v>
      </c>
      <c r="I16" s="109"/>
      <c r="K16" s="109"/>
      <c r="L16" s="111"/>
      <c r="M16" s="111"/>
      <c r="N16" s="112"/>
      <c r="O16" s="19"/>
      <c r="P16" s="76"/>
      <c r="Q16" s="76"/>
      <c r="R16" s="95"/>
    </row>
    <row r="17" spans="1:24">
      <c r="C17" s="113"/>
      <c r="D17" s="114" t="str">
        <f>VLOOKUP($D$15,'Plant Data'!A4:F8,6,FALSE)</f>
        <v>Annually spends $84,000 to clean grit tanks</v>
      </c>
      <c r="E17" s="115"/>
      <c r="F17" s="115"/>
      <c r="G17" s="115"/>
      <c r="H17" s="110"/>
      <c r="I17" s="116"/>
      <c r="J17" s="117"/>
      <c r="K17" s="116"/>
      <c r="L17" s="118"/>
      <c r="M17" s="118"/>
      <c r="N17" s="119"/>
      <c r="O17" s="19"/>
      <c r="P17" s="76"/>
      <c r="Q17" s="76"/>
      <c r="R17" s="95"/>
    </row>
    <row r="18" spans="1:24">
      <c r="C18" s="100" t="s">
        <v>89</v>
      </c>
      <c r="D18" s="120"/>
      <c r="E18" s="101"/>
      <c r="F18" s="101"/>
      <c r="G18" s="101"/>
      <c r="H18" s="101"/>
      <c r="I18" s="101"/>
      <c r="J18" s="121"/>
      <c r="K18" s="120"/>
      <c r="L18" s="122"/>
      <c r="M18" s="122"/>
      <c r="N18" s="123"/>
      <c r="O18" s="19"/>
      <c r="P18" s="76"/>
      <c r="Q18" s="76"/>
      <c r="R18" s="95"/>
      <c r="U18" s="2" t="s">
        <v>14</v>
      </c>
    </row>
    <row r="19" spans="1:24">
      <c r="C19" s="103"/>
      <c r="D19" s="176" t="s">
        <v>63</v>
      </c>
      <c r="E19" s="106"/>
      <c r="F19" s="105">
        <f>VLOOKUP($D$19,'Plant Data'!A10:F13,3,FALSE)</f>
        <v>21</v>
      </c>
      <c r="G19" s="106"/>
      <c r="H19" s="187" t="s">
        <v>140</v>
      </c>
      <c r="I19" s="106"/>
      <c r="J19" s="177">
        <f>VLOOKUP($D$19,'Plant Data'!A10:F13,5,FALSE)</f>
        <v>30.00652315720809</v>
      </c>
      <c r="K19" s="106"/>
      <c r="L19" s="245">
        <f>(Clarifier_Maintenance*Average_FLow*365)+H20</f>
        <v>273809.52380952379</v>
      </c>
      <c r="M19" s="245"/>
      <c r="N19" s="246"/>
      <c r="O19" s="19"/>
      <c r="P19" s="107">
        <f>(Clarifier_Cost*2)*(1-hydro_efficiency)</f>
        <v>54761.904761904749</v>
      </c>
      <c r="Q19" s="107">
        <f>(Clarifier_Cost*2)*(1-existing_efficiency)</f>
        <v>273809.52380952379</v>
      </c>
      <c r="R19" s="95"/>
    </row>
    <row r="20" spans="1:24">
      <c r="C20" s="103"/>
      <c r="D20" s="124" t="str">
        <f>VLOOKUP($D$19,'Plant Data'!A10:F13,2,FALSE)</f>
        <v>Unnamed plant - numbers provided by plant (21 MGD Avg. 60 MGD Peak)</v>
      </c>
      <c r="E20" s="106"/>
      <c r="F20" s="106"/>
      <c r="G20" s="106"/>
      <c r="H20" s="188">
        <v>0</v>
      </c>
      <c r="I20" s="106"/>
      <c r="K20" s="106"/>
      <c r="L20" s="125"/>
      <c r="M20" s="125"/>
      <c r="N20" s="112"/>
      <c r="O20" s="19"/>
      <c r="P20" s="76"/>
      <c r="Q20" s="76"/>
      <c r="R20" s="95"/>
    </row>
    <row r="21" spans="1:24">
      <c r="C21" s="113"/>
      <c r="D21" s="114" t="str">
        <f>VLOOKUP($D$19,'Plant Data'!A8:F13,6,FALSE)</f>
        <v>Annual grit related primary sedimentation tank cleaning/maintenance costs are $230,000</v>
      </c>
      <c r="E21" s="115"/>
      <c r="F21" s="115"/>
      <c r="G21" s="115"/>
      <c r="H21" s="110"/>
      <c r="I21" s="115"/>
      <c r="J21" s="126"/>
      <c r="K21" s="115"/>
      <c r="L21" s="127"/>
      <c r="M21" s="127"/>
      <c r="N21" s="119"/>
      <c r="O21" s="19"/>
      <c r="P21" s="76"/>
      <c r="Q21" s="76"/>
      <c r="R21" s="95"/>
    </row>
    <row r="22" spans="1:24">
      <c r="C22" s="100" t="s">
        <v>90</v>
      </c>
      <c r="D22" s="120"/>
      <c r="E22" s="101"/>
      <c r="F22" s="101"/>
      <c r="G22" s="101"/>
      <c r="H22" s="101"/>
      <c r="I22" s="101"/>
      <c r="J22" s="128"/>
      <c r="K22" s="101"/>
      <c r="L22" s="122"/>
      <c r="M22" s="122"/>
      <c r="N22" s="123"/>
      <c r="O22" s="19"/>
      <c r="P22" s="76"/>
      <c r="Q22" s="76"/>
      <c r="R22" s="95"/>
      <c r="X22" s="129"/>
    </row>
    <row r="23" spans="1:24">
      <c r="C23" s="103"/>
      <c r="D23" s="176" t="s">
        <v>64</v>
      </c>
      <c r="E23" s="106"/>
      <c r="F23" s="105">
        <f>VLOOKUP($D$23,'Plant Data'!A15:F18,3,FALSE)</f>
        <v>4</v>
      </c>
      <c r="G23" s="106"/>
      <c r="H23" s="187" t="s">
        <v>140</v>
      </c>
      <c r="I23" s="106"/>
      <c r="J23" s="177">
        <f>VLOOKUP($D$23,'Plant Data'!A15:F18,5,FALSE)</f>
        <v>5.2561643835616438</v>
      </c>
      <c r="K23" s="106"/>
      <c r="L23" s="245">
        <f>(Aeration_Basin_Impact*Average_FLow*365)+H24</f>
        <v>47962.5</v>
      </c>
      <c r="M23" s="245"/>
      <c r="N23" s="246"/>
      <c r="O23" s="19"/>
      <c r="P23" s="107">
        <f>(Aeration_Basin_Cost*2)*(1-hydro_efficiency)</f>
        <v>9592.4999999999982</v>
      </c>
      <c r="Q23" s="107">
        <f>(Aeration_Basin_Cost*2)*(1-existing_efficiency)</f>
        <v>47962.5</v>
      </c>
      <c r="R23" s="95"/>
    </row>
    <row r="24" spans="1:24">
      <c r="C24" s="103"/>
      <c r="D24" s="124" t="str">
        <f>VLOOKUP($D$23,'Plant Data'!A15:F18,2,FALSE)</f>
        <v>Castle Rock Plum Creek CO (4 MGD Avg, 7 MGD Peak)</v>
      </c>
      <c r="E24" s="106"/>
      <c r="F24" s="106"/>
      <c r="G24" s="106"/>
      <c r="H24" s="188">
        <v>0</v>
      </c>
      <c r="I24" s="106"/>
      <c r="K24" s="106"/>
      <c r="L24" s="111"/>
      <c r="M24" s="111"/>
      <c r="N24" s="112"/>
      <c r="O24" s="19"/>
      <c r="P24" s="76"/>
      <c r="Q24" s="76"/>
      <c r="R24" s="95"/>
    </row>
    <row r="25" spans="1:24">
      <c r="C25" s="113"/>
      <c r="D25" s="114" t="str">
        <f>VLOOKUP($D$23,'Plant Data'!A15:F18,6,FALSE)</f>
        <v>Spent $38,370 to clean aeration basin every 5 years</v>
      </c>
      <c r="E25" s="115"/>
      <c r="F25" s="115"/>
      <c r="G25" s="115"/>
      <c r="H25" s="110"/>
      <c r="I25" s="116"/>
      <c r="J25" s="117"/>
      <c r="K25" s="116"/>
      <c r="L25" s="127"/>
      <c r="M25" s="127"/>
      <c r="N25" s="119"/>
      <c r="O25" s="19"/>
      <c r="P25" s="130"/>
      <c r="Q25" s="130"/>
      <c r="R25" s="95"/>
    </row>
    <row r="26" spans="1:24">
      <c r="C26" s="100" t="s">
        <v>118</v>
      </c>
      <c r="D26" s="120"/>
      <c r="E26" s="101"/>
      <c r="F26" s="101"/>
      <c r="G26" s="101"/>
      <c r="H26" s="101"/>
      <c r="I26" s="101"/>
      <c r="J26" s="128"/>
      <c r="K26" s="101"/>
      <c r="L26" s="122"/>
      <c r="M26" s="122"/>
      <c r="N26" s="123"/>
      <c r="O26" s="19"/>
      <c r="P26" s="130"/>
      <c r="Q26" s="130"/>
      <c r="R26" s="95"/>
    </row>
    <row r="27" spans="1:24">
      <c r="C27" s="103"/>
      <c r="D27" s="176" t="s">
        <v>76</v>
      </c>
      <c r="E27" s="106"/>
      <c r="F27" s="105">
        <f>VLOOKUP($D$27,'Plant Data'!A21:F22,3,FALSE)</f>
        <v>50</v>
      </c>
      <c r="G27" s="106"/>
      <c r="H27" s="187" t="s">
        <v>140</v>
      </c>
      <c r="I27" s="106"/>
      <c r="J27" s="177">
        <f>VLOOKUP($D$27,'Plant Data'!A21:F22,5,FALSE)</f>
        <v>13.09</v>
      </c>
      <c r="K27" s="106"/>
      <c r="L27" s="245">
        <f>(bioreactor_cleaning*Average_FLow*365)+H28</f>
        <v>119446.25</v>
      </c>
      <c r="M27" s="245"/>
      <c r="N27" s="246"/>
      <c r="O27" s="19"/>
      <c r="P27" s="130"/>
      <c r="Q27" s="130"/>
      <c r="R27" s="95"/>
    </row>
    <row r="28" spans="1:24">
      <c r="C28" s="103"/>
      <c r="D28" s="108" t="str">
        <f>VLOOKUP($D$27,'Plant Data'!A21:F22,2,FALSE)</f>
        <v>Confidential Location (50 MGD Avg.)</v>
      </c>
      <c r="E28" s="106"/>
      <c r="F28" s="106"/>
      <c r="G28" s="106"/>
      <c r="H28" s="188">
        <v>0</v>
      </c>
      <c r="I28" s="106"/>
      <c r="K28" s="106"/>
      <c r="L28" s="125"/>
      <c r="M28" s="125"/>
      <c r="N28" s="112"/>
      <c r="O28" s="19"/>
      <c r="P28" s="130"/>
      <c r="Q28" s="130"/>
      <c r="R28" s="95"/>
    </row>
    <row r="29" spans="1:24">
      <c r="C29" s="113"/>
      <c r="D29" s="114" t="str">
        <f>VLOOKUP($D$27,'Plant Data'!A21:F22,6,FALSE)</f>
        <v>Cleans one of five bioreactors annually at a cost of $239,000 for cleaning alone</v>
      </c>
      <c r="E29" s="115"/>
      <c r="F29" s="115"/>
      <c r="G29" s="115"/>
      <c r="H29" s="110"/>
      <c r="I29" s="116"/>
      <c r="J29" s="117"/>
      <c r="K29" s="116"/>
      <c r="L29" s="127"/>
      <c r="M29" s="127"/>
      <c r="N29" s="119"/>
      <c r="O29" s="19"/>
      <c r="P29" s="130"/>
      <c r="Q29" s="130"/>
      <c r="R29" s="95"/>
    </row>
    <row r="30" spans="1:24">
      <c r="C30" s="100" t="s">
        <v>119</v>
      </c>
      <c r="D30" s="120"/>
      <c r="E30" s="101"/>
      <c r="F30" s="101"/>
      <c r="G30" s="101"/>
      <c r="H30" s="101"/>
      <c r="I30" s="101"/>
      <c r="J30" s="128"/>
      <c r="K30" s="101"/>
      <c r="L30" s="122"/>
      <c r="M30" s="122"/>
      <c r="N30" s="123"/>
      <c r="O30" s="19"/>
      <c r="P30" s="76"/>
      <c r="Q30" s="76"/>
      <c r="R30" s="95"/>
    </row>
    <row r="31" spans="1:24">
      <c r="C31" s="103"/>
      <c r="D31" s="176" t="s">
        <v>67</v>
      </c>
      <c r="E31" s="106"/>
      <c r="F31" s="105">
        <f>VLOOKUP($D$31,'Plant Data'!A25:F26,3,FALSE)</f>
        <v>12</v>
      </c>
      <c r="G31" s="106"/>
      <c r="H31" s="187" t="s">
        <v>140</v>
      </c>
      <c r="I31" s="106"/>
      <c r="J31" s="177">
        <f>VLOOKUP($D$31,'Plant Data'!A25:F26,5,FALSE)</f>
        <v>12.557077625570777</v>
      </c>
      <c r="K31" s="106"/>
      <c r="L31" s="245">
        <f>(Pump_Maintenance*Average_FLow*365)+H32</f>
        <v>114583.33333333334</v>
      </c>
      <c r="M31" s="245"/>
      <c r="N31" s="246"/>
      <c r="O31" s="19"/>
      <c r="P31" s="107">
        <f>(Pump_Cost*2)*(1-hydro_efficiency)</f>
        <v>22916.666666666664</v>
      </c>
      <c r="Q31" s="107">
        <f>(Pump_Cost*2)*(1-existing_efficiency)</f>
        <v>114583.33333333334</v>
      </c>
      <c r="R31" s="95"/>
    </row>
    <row r="32" spans="1:24">
      <c r="A32" s="131"/>
      <c r="C32" s="103"/>
      <c r="D32" s="132" t="str">
        <f>VLOOKUP($D$31,'Plant Data'!A25:F26,2,FALSE)</f>
        <v>Little Rock AR (12 MGD Avg, 52 MGD Peak)</v>
      </c>
      <c r="E32" s="106"/>
      <c r="F32" s="106"/>
      <c r="G32" s="106"/>
      <c r="H32" s="188">
        <v>0</v>
      </c>
      <c r="I32" s="106"/>
      <c r="K32" s="106"/>
      <c r="L32" s="125"/>
      <c r="M32" s="125"/>
      <c r="N32" s="112"/>
      <c r="O32" s="19"/>
      <c r="R32" s="95"/>
    </row>
    <row r="33" spans="3:18">
      <c r="C33" s="113"/>
      <c r="D33" s="133" t="str">
        <f>VLOOKUP($D$31,'Plant Data'!A25:F26,6,FALSE)</f>
        <v xml:space="preserve">Spent $55,000 annually on sludge pump repair due to abrasive wear from grit </v>
      </c>
      <c r="E33" s="115"/>
      <c r="F33" s="115"/>
      <c r="G33" s="115"/>
      <c r="H33" s="110"/>
      <c r="I33" s="116"/>
      <c r="J33" s="117"/>
      <c r="K33" s="116"/>
      <c r="L33" s="127"/>
      <c r="M33" s="127"/>
      <c r="N33" s="119"/>
      <c r="O33" s="19"/>
      <c r="P33" s="130"/>
      <c r="Q33" s="130"/>
      <c r="R33" s="95"/>
    </row>
    <row r="34" spans="3:18">
      <c r="C34" s="100" t="s">
        <v>120</v>
      </c>
      <c r="D34" s="120"/>
      <c r="E34" s="101"/>
      <c r="F34" s="101"/>
      <c r="G34" s="101"/>
      <c r="H34" s="101"/>
      <c r="I34" s="101"/>
      <c r="J34" s="128"/>
      <c r="K34" s="101"/>
      <c r="L34" s="122"/>
      <c r="M34" s="122"/>
      <c r="N34" s="123"/>
      <c r="O34" s="19"/>
      <c r="P34" s="76"/>
      <c r="Q34" s="76"/>
      <c r="R34" s="95"/>
    </row>
    <row r="35" spans="3:18">
      <c r="C35" s="103"/>
      <c r="D35" s="176" t="s">
        <v>61</v>
      </c>
      <c r="E35" s="106"/>
      <c r="F35" s="105">
        <f>VLOOKUP($D$35,'Plant Data'!$A$29:$F$32,3,FALSE)</f>
        <v>0</v>
      </c>
      <c r="G35" s="106"/>
      <c r="H35" s="187" t="s">
        <v>140</v>
      </c>
      <c r="I35" s="106"/>
      <c r="J35" s="177">
        <f>VLOOKUP($D$35,'Plant Data'!$A$29:$F$32,5,FALSE)</f>
        <v>0</v>
      </c>
      <c r="K35" s="106"/>
      <c r="L35" s="245">
        <f>(Digester_Cleaning*Average_FLow*365)+H36</f>
        <v>0</v>
      </c>
      <c r="M35" s="245"/>
      <c r="N35" s="246"/>
      <c r="O35" s="19"/>
      <c r="P35" s="107">
        <f>(Digester_Cleaning_Cost*2)*(1-hydro_efficiency)</f>
        <v>0</v>
      </c>
      <c r="Q35" s="107">
        <f>(Digester_Cleaning_Cost*2)*(1-existing_efficiency)</f>
        <v>0</v>
      </c>
      <c r="R35" s="95"/>
    </row>
    <row r="36" spans="3:18">
      <c r="C36" s="103"/>
      <c r="D36" s="108">
        <f>VLOOKUP($D$35,'Plant Data'!$A$29:$F$32,2,FALSE)</f>
        <v>0</v>
      </c>
      <c r="E36" s="106"/>
      <c r="F36" s="106"/>
      <c r="G36" s="106"/>
      <c r="H36" s="188">
        <v>0</v>
      </c>
      <c r="I36" s="106"/>
      <c r="K36" s="106"/>
      <c r="L36" s="125"/>
      <c r="M36" s="125"/>
      <c r="N36" s="112"/>
      <c r="O36" s="19"/>
      <c r="R36" s="95"/>
    </row>
    <row r="37" spans="3:18">
      <c r="C37" s="113"/>
      <c r="D37" s="114">
        <f>VLOOKUP($D$35,'Plant Data'!A29:F32,6,FALSE)</f>
        <v>0</v>
      </c>
      <c r="E37" s="115"/>
      <c r="F37" s="115"/>
      <c r="G37" s="115"/>
      <c r="H37" s="110"/>
      <c r="I37" s="116"/>
      <c r="J37" s="134"/>
      <c r="K37" s="116"/>
      <c r="L37" s="127"/>
      <c r="M37" s="127"/>
      <c r="N37" s="119"/>
      <c r="O37" s="19"/>
      <c r="P37" s="130"/>
      <c r="Q37" s="130"/>
      <c r="R37" s="95"/>
    </row>
    <row r="38" spans="3:18">
      <c r="C38" s="100" t="s">
        <v>121</v>
      </c>
      <c r="D38" s="120"/>
      <c r="E38" s="101"/>
      <c r="F38" s="101"/>
      <c r="G38" s="101"/>
      <c r="H38" s="101"/>
      <c r="I38" s="101"/>
      <c r="J38" s="128"/>
      <c r="K38" s="135"/>
      <c r="L38" s="122"/>
      <c r="M38" s="122"/>
      <c r="N38" s="123"/>
      <c r="O38" s="19"/>
      <c r="P38" s="76"/>
      <c r="Q38" s="76"/>
      <c r="R38" s="95"/>
    </row>
    <row r="39" spans="3:18">
      <c r="C39" s="103"/>
      <c r="D39" s="176" t="s">
        <v>73</v>
      </c>
      <c r="E39" s="106"/>
      <c r="F39" s="105">
        <f>VLOOKUP($D$39,'Plant Data'!$A$35:$F$37,3,FALSE)</f>
        <v>76</v>
      </c>
      <c r="G39" s="106"/>
      <c r="H39" s="187" t="s">
        <v>140</v>
      </c>
      <c r="I39" s="106"/>
      <c r="J39" s="177">
        <f>VLOOKUP($D$39,'Plant Data'!$A$35:$F$37,5,FALSE)</f>
        <v>5.407354001441961</v>
      </c>
      <c r="K39" s="106"/>
      <c r="L39" s="247">
        <f>(Centrifuge_Wear*Average_FLow*365)+H40</f>
        <v>49342.105263157893</v>
      </c>
      <c r="M39" s="247"/>
      <c r="N39" s="248"/>
      <c r="O39" s="19"/>
      <c r="P39" s="107">
        <f>(Centrifuge_Cost*2)*(1-hydro_efficiency)</f>
        <v>9868.4210526315765</v>
      </c>
      <c r="Q39" s="107">
        <f>(Centrifuge_Cost*2)*(1-existing_efficiency)</f>
        <v>49342.105263157893</v>
      </c>
      <c r="R39" s="95"/>
    </row>
    <row r="40" spans="3:18">
      <c r="C40" s="103"/>
      <c r="D40" s="108" t="str">
        <f>VLOOKUP($D$39,'Plant Data'!A35:F37,2,FALSE)</f>
        <v>Albuquerque - from paper by engineer at RMWEA (76 MGD Avg, 120 MGD Peak)</v>
      </c>
      <c r="E40" s="106"/>
      <c r="F40" s="106"/>
      <c r="G40" s="106"/>
      <c r="H40" s="188">
        <v>0</v>
      </c>
      <c r="I40" s="106"/>
      <c r="K40" s="106"/>
      <c r="L40" s="125"/>
      <c r="M40" s="125"/>
      <c r="N40" s="112"/>
      <c r="O40" s="19"/>
      <c r="P40" s="136"/>
      <c r="Q40" s="136"/>
      <c r="R40" s="95"/>
    </row>
    <row r="41" spans="3:18">
      <c r="C41" s="113"/>
      <c r="D41" s="114" t="str">
        <f>VLOOKUP($D$39,'Plant Data'!A30:F37,6,FALSE)</f>
        <v>Spends $150,000 per year on centrifuge bowls due to abrasive wear</v>
      </c>
      <c r="E41" s="115"/>
      <c r="F41" s="115"/>
      <c r="G41" s="115"/>
      <c r="H41" s="110"/>
      <c r="I41" s="115"/>
      <c r="J41" s="134"/>
      <c r="K41" s="115"/>
      <c r="L41" s="127"/>
      <c r="M41" s="127"/>
      <c r="N41" s="119"/>
      <c r="O41" s="19"/>
      <c r="P41" s="136"/>
      <c r="Q41" s="136"/>
      <c r="R41" s="95"/>
    </row>
    <row r="42" spans="3:18" ht="14.25">
      <c r="C42" s="100" t="s">
        <v>135</v>
      </c>
      <c r="D42" s="120"/>
      <c r="E42" s="120"/>
      <c r="F42" s="101"/>
      <c r="G42" s="101"/>
      <c r="H42" s="296" t="s">
        <v>141</v>
      </c>
      <c r="I42" s="101"/>
      <c r="O42" s="19"/>
      <c r="P42" s="136"/>
      <c r="Q42" s="136"/>
      <c r="R42" s="95"/>
    </row>
    <row r="43" spans="3:18">
      <c r="C43" s="113"/>
      <c r="D43" s="207" t="s">
        <v>61</v>
      </c>
      <c r="E43" s="115"/>
      <c r="F43" s="208"/>
      <c r="G43" s="115"/>
      <c r="H43" s="209" t="s">
        <v>131</v>
      </c>
      <c r="I43" s="115"/>
      <c r="J43" s="218">
        <v>0</v>
      </c>
      <c r="K43" s="217"/>
      <c r="L43" s="219">
        <f>J43</f>
        <v>0</v>
      </c>
      <c r="M43" s="219"/>
      <c r="N43" s="219"/>
      <c r="O43" s="2"/>
      <c r="P43" s="2"/>
      <c r="Q43" s="2"/>
    </row>
    <row r="44" spans="3:18" ht="15.75" thickBot="1">
      <c r="J44" s="137"/>
      <c r="L44" s="138"/>
      <c r="M44" s="138"/>
      <c r="N44" s="6"/>
      <c r="O44" s="19"/>
      <c r="P44" s="136"/>
      <c r="Q44" s="136"/>
      <c r="R44" s="95"/>
    </row>
    <row r="45" spans="3:18" ht="16.5" thickTop="1" thickBot="1">
      <c r="J45" s="140"/>
      <c r="K45" s="141" t="s">
        <v>132</v>
      </c>
      <c r="L45" s="222">
        <f>SUM(L15:L43)</f>
        <v>715670.02819548873</v>
      </c>
      <c r="M45" s="222"/>
      <c r="N45" s="223"/>
      <c r="O45" s="19"/>
      <c r="P45" s="136"/>
      <c r="Q45" s="136"/>
      <c r="R45" s="95"/>
    </row>
    <row r="46" spans="3:18" ht="15.75" thickTop="1">
      <c r="J46" s="137"/>
      <c r="K46" s="6"/>
      <c r="N46" s="10"/>
      <c r="O46" s="19"/>
      <c r="Q46" s="139"/>
      <c r="R46" s="95"/>
    </row>
    <row r="47" spans="3:18">
      <c r="C47" s="6" t="s">
        <v>24</v>
      </c>
      <c r="G47" s="220" t="str">
        <f>Plant_Name&amp;","&amp;" " &amp;City</f>
        <v>Your Plant, Anytown</v>
      </c>
      <c r="H47" s="220"/>
      <c r="I47" s="10"/>
      <c r="L47" s="19"/>
      <c r="M47" s="19"/>
      <c r="N47" s="10"/>
      <c r="O47" s="19"/>
      <c r="Q47" s="130"/>
      <c r="R47" s="95"/>
    </row>
    <row r="48" spans="3:18">
      <c r="C48" s="6"/>
      <c r="H48" s="19"/>
      <c r="I48" s="10"/>
      <c r="L48" s="19"/>
      <c r="M48" s="19"/>
      <c r="N48" s="10"/>
      <c r="O48" s="19"/>
      <c r="Q48" s="130"/>
      <c r="R48" s="95"/>
    </row>
    <row r="49" spans="2:18">
      <c r="B49" s="183"/>
      <c r="C49" s="230" t="s">
        <v>130</v>
      </c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184"/>
      <c r="Q49" s="76"/>
      <c r="R49" s="95"/>
    </row>
    <row r="50" spans="2:18">
      <c r="B50" s="185"/>
      <c r="C50" s="228" t="s">
        <v>127</v>
      </c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186"/>
      <c r="Q50" s="76"/>
    </row>
    <row r="51" spans="2:18" ht="14.25">
      <c r="K51" s="19"/>
      <c r="L51" s="143"/>
      <c r="M51" s="143"/>
      <c r="N51" s="19"/>
      <c r="O51" s="2"/>
    </row>
    <row r="52" spans="2:18" ht="15" customHeight="1">
      <c r="D52" s="234" t="s">
        <v>128</v>
      </c>
      <c r="E52" s="235"/>
      <c r="F52" s="235"/>
      <c r="G52" s="235"/>
      <c r="H52" s="236"/>
      <c r="J52" s="234" t="s">
        <v>11</v>
      </c>
      <c r="K52" s="235"/>
      <c r="L52" s="235"/>
      <c r="M52" s="235"/>
      <c r="N52" s="236"/>
      <c r="O52" s="2"/>
      <c r="Q52" s="142"/>
    </row>
    <row r="53" spans="2:18">
      <c r="D53" s="145"/>
      <c r="E53" s="106"/>
      <c r="F53" s="106"/>
      <c r="G53" s="106"/>
      <c r="H53" s="146" t="s">
        <v>27</v>
      </c>
      <c r="J53" s="147"/>
      <c r="K53" s="106"/>
      <c r="L53" s="106"/>
      <c r="M53" s="106"/>
      <c r="N53" s="146" t="s">
        <v>27</v>
      </c>
      <c r="O53" s="19"/>
    </row>
    <row r="54" spans="2:18">
      <c r="D54" s="147"/>
      <c r="E54" s="106"/>
      <c r="F54" s="106"/>
      <c r="G54" s="106"/>
      <c r="H54" s="146" t="s">
        <v>129</v>
      </c>
      <c r="J54" s="147"/>
      <c r="K54" s="106"/>
      <c r="L54" s="106"/>
      <c r="M54" s="106"/>
      <c r="N54" s="146" t="s">
        <v>26</v>
      </c>
      <c r="O54" s="19"/>
      <c r="Q54" s="144"/>
    </row>
    <row r="55" spans="2:18">
      <c r="D55" s="210" t="s">
        <v>60</v>
      </c>
      <c r="E55" s="211"/>
      <c r="F55" s="214" t="s">
        <v>114</v>
      </c>
      <c r="G55" s="106"/>
      <c r="H55" s="149">
        <f>VLOOKUP(F55,Instructions!A63:F67,6,FALSE)/100</f>
        <v>0.5</v>
      </c>
      <c r="J55" s="147"/>
      <c r="K55" s="106"/>
      <c r="L55" s="148" t="s">
        <v>78</v>
      </c>
      <c r="M55" s="148"/>
      <c r="N55" s="150">
        <v>0.9</v>
      </c>
      <c r="O55" s="19"/>
    </row>
    <row r="56" spans="2:18" ht="14.25">
      <c r="D56" s="147"/>
      <c r="E56" s="106"/>
      <c r="F56" s="106"/>
      <c r="G56" s="106"/>
      <c r="H56" s="151"/>
      <c r="J56" s="147"/>
      <c r="K56" s="106"/>
      <c r="L56" s="106"/>
      <c r="M56" s="106"/>
      <c r="N56" s="151"/>
      <c r="O56" s="19"/>
    </row>
    <row r="57" spans="2:18">
      <c r="D57" s="83"/>
      <c r="E57" s="115"/>
      <c r="F57" s="152" t="s">
        <v>29</v>
      </c>
      <c r="G57" s="115"/>
      <c r="H57" s="153">
        <f>(Annual_Cost*2)*(1-H55)</f>
        <v>715670.02819548873</v>
      </c>
      <c r="I57" s="6"/>
      <c r="J57" s="83"/>
      <c r="K57" s="115"/>
      <c r="L57" s="152" t="s">
        <v>29</v>
      </c>
      <c r="M57" s="152"/>
      <c r="N57" s="153">
        <f>(Annual_Cost*2)*(1-N55)</f>
        <v>143134.00563909771</v>
      </c>
      <c r="O57" s="19"/>
    </row>
    <row r="58" spans="2:18">
      <c r="D58" s="106" t="s">
        <v>122</v>
      </c>
      <c r="E58" s="106"/>
      <c r="F58" s="154"/>
      <c r="G58" s="106"/>
      <c r="H58" s="155"/>
      <c r="I58" s="6"/>
      <c r="J58" s="106"/>
      <c r="K58" s="106"/>
      <c r="L58" s="154"/>
      <c r="M58" s="154"/>
      <c r="N58" s="155"/>
      <c r="O58" s="19"/>
    </row>
    <row r="59" spans="2:18">
      <c r="D59" s="106"/>
      <c r="E59" s="106"/>
      <c r="F59" s="154"/>
      <c r="G59" s="106"/>
      <c r="H59" s="155"/>
      <c r="I59" s="6"/>
      <c r="J59" s="106"/>
      <c r="K59" s="106"/>
      <c r="L59" s="154"/>
      <c r="M59" s="154"/>
      <c r="N59" s="155"/>
      <c r="O59" s="19"/>
    </row>
    <row r="60" spans="2:18">
      <c r="B60" s="181"/>
      <c r="C60" s="237" t="s">
        <v>142</v>
      </c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182"/>
    </row>
    <row r="61" spans="2:18" ht="23.25" customHeight="1">
      <c r="B61" s="101"/>
      <c r="C61" s="1" t="s">
        <v>31</v>
      </c>
      <c r="D61" s="156"/>
      <c r="E61" s="156"/>
      <c r="F61" s="156"/>
      <c r="O61" s="19"/>
    </row>
    <row r="62" spans="2:18" ht="24.75" customHeight="1">
      <c r="B62" s="109"/>
      <c r="C62" s="1" t="s">
        <v>30</v>
      </c>
      <c r="D62" s="156"/>
      <c r="E62" s="156"/>
      <c r="F62" s="213">
        <v>30</v>
      </c>
      <c r="N62" s="6"/>
      <c r="O62" s="2"/>
      <c r="P62" s="144"/>
    </row>
    <row r="63" spans="2:18" ht="18">
      <c r="C63" s="156"/>
      <c r="D63" s="156"/>
      <c r="E63" s="156"/>
      <c r="F63" s="157">
        <f>F62*H57</f>
        <v>21470100.845864661</v>
      </c>
      <c r="O63" s="19"/>
    </row>
    <row r="64" spans="2:18" ht="18">
      <c r="C64" s="156"/>
      <c r="D64" s="156"/>
      <c r="E64" s="1"/>
      <c r="F64" s="1"/>
      <c r="L64" s="6"/>
      <c r="M64" s="6"/>
      <c r="O64" s="19"/>
    </row>
    <row r="65" spans="3:15" ht="18">
      <c r="C65" s="1" t="s">
        <v>32</v>
      </c>
      <c r="D65" s="156"/>
      <c r="E65" s="156"/>
      <c r="F65" s="156"/>
      <c r="O65" s="19"/>
    </row>
    <row r="66" spans="3:15" ht="18">
      <c r="C66" s="1" t="s">
        <v>30</v>
      </c>
      <c r="D66" s="1"/>
      <c r="E66" s="156"/>
      <c r="F66" s="158">
        <f>Lifetime</f>
        <v>30</v>
      </c>
      <c r="O66" s="19"/>
    </row>
    <row r="67" spans="3:15" ht="18">
      <c r="C67" s="156"/>
      <c r="D67" s="156"/>
      <c r="E67" s="156"/>
      <c r="F67" s="157">
        <f>F66*N57</f>
        <v>4294020.1691729315</v>
      </c>
      <c r="H67" s="159"/>
      <c r="O67" s="19"/>
    </row>
    <row r="68" spans="3:15" ht="14.25">
      <c r="O68" s="19"/>
    </row>
    <row r="69" spans="3:15" ht="14.25">
      <c r="O69" s="19"/>
    </row>
    <row r="70" spans="3:15" ht="26.25">
      <c r="C70" s="160" t="s">
        <v>52</v>
      </c>
    </row>
    <row r="72" spans="3:15" ht="20.25">
      <c r="C72" s="221" t="s">
        <v>74</v>
      </c>
      <c r="D72" s="221"/>
      <c r="E72" s="221"/>
      <c r="F72" s="221"/>
      <c r="G72" s="221"/>
      <c r="H72" s="221"/>
      <c r="I72" s="232">
        <f>H57-N57</f>
        <v>572536.02255639108</v>
      </c>
      <c r="J72" s="232"/>
      <c r="K72" s="232"/>
      <c r="L72" s="232"/>
      <c r="M72" s="232"/>
      <c r="N72" s="232"/>
      <c r="O72" s="19"/>
    </row>
    <row r="73" spans="3:15" ht="15.75">
      <c r="L73" s="161"/>
      <c r="M73" s="161"/>
    </row>
    <row r="74" spans="3:15">
      <c r="C74" s="233" t="s">
        <v>53</v>
      </c>
      <c r="D74" s="233"/>
      <c r="E74" s="233"/>
      <c r="F74" s="224">
        <f>Q15-P15</f>
        <v>88421.052631578961</v>
      </c>
      <c r="G74" s="224"/>
      <c r="H74" s="224"/>
      <c r="O74" s="19"/>
    </row>
    <row r="75" spans="3:15">
      <c r="C75" s="233" t="s">
        <v>54</v>
      </c>
      <c r="D75" s="233"/>
      <c r="E75" s="233"/>
      <c r="F75" s="224">
        <f>Q19-P19</f>
        <v>219047.61904761905</v>
      </c>
      <c r="G75" s="224"/>
      <c r="H75" s="224"/>
      <c r="O75" s="19"/>
    </row>
    <row r="76" spans="3:15">
      <c r="C76" s="233" t="s">
        <v>57</v>
      </c>
      <c r="D76" s="233"/>
      <c r="E76" s="233"/>
      <c r="F76" s="224">
        <f>Q23-P23</f>
        <v>38370</v>
      </c>
      <c r="G76" s="224"/>
      <c r="H76" s="224"/>
      <c r="O76" s="19"/>
    </row>
    <row r="77" spans="3:15">
      <c r="C77" s="233" t="s">
        <v>56</v>
      </c>
      <c r="D77" s="233"/>
      <c r="E77" s="233"/>
      <c r="F77" s="224">
        <f>Q31-P31</f>
        <v>91666.666666666686</v>
      </c>
      <c r="G77" s="224"/>
      <c r="H77" s="224"/>
      <c r="O77" s="19"/>
    </row>
    <row r="78" spans="3:15">
      <c r="C78" s="233" t="s">
        <v>55</v>
      </c>
      <c r="D78" s="233"/>
      <c r="E78" s="233"/>
      <c r="F78" s="224">
        <f>Q35-P35</f>
        <v>0</v>
      </c>
      <c r="G78" s="224"/>
      <c r="H78" s="224"/>
      <c r="O78" s="19"/>
    </row>
    <row r="79" spans="3:15">
      <c r="C79" s="233" t="s">
        <v>58</v>
      </c>
      <c r="D79" s="233"/>
      <c r="E79" s="233"/>
      <c r="F79" s="224">
        <f>Q39-P39</f>
        <v>39473.68421052632</v>
      </c>
      <c r="G79" s="224"/>
      <c r="H79" s="224"/>
      <c r="O79" s="19"/>
    </row>
    <row r="80" spans="3:15" ht="14.25">
      <c r="O80" s="19"/>
    </row>
    <row r="81" spans="2:15" ht="14.25">
      <c r="O81" s="19"/>
    </row>
    <row r="82" spans="2:15" ht="23.25">
      <c r="C82" s="162" t="str">
        <f>"Total savings over "&amp;F62&amp;" years provided by an Advanced Grit Removal system from Hydro International:"</f>
        <v>Total savings over 30 years provided by an Advanced Grit Removal system from Hydro International:</v>
      </c>
    </row>
    <row r="83" spans="2:15" ht="33.75">
      <c r="D83" s="227">
        <f>F63-F67</f>
        <v>17176080.67669173</v>
      </c>
      <c r="E83" s="227"/>
      <c r="F83" s="227"/>
      <c r="G83" s="227"/>
      <c r="O83" s="19"/>
    </row>
    <row r="84" spans="2:15">
      <c r="B84" s="200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2"/>
    </row>
    <row r="85" spans="2:15" ht="18">
      <c r="B85" s="203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5"/>
      <c r="O85" s="206"/>
    </row>
    <row r="86" spans="2:15" ht="18">
      <c r="B86" s="204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5" t="s">
        <v>81</v>
      </c>
      <c r="O86" s="212"/>
    </row>
    <row r="87" spans="2:15">
      <c r="B87" s="204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12"/>
    </row>
    <row r="88" spans="2:15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"/>
    </row>
    <row r="89" spans="2:15" ht="18">
      <c r="C89" s="77"/>
      <c r="D89" s="78"/>
      <c r="E89" s="78"/>
      <c r="F89" s="189" t="s">
        <v>19</v>
      </c>
      <c r="G89" s="163"/>
      <c r="H89" s="191" t="str">
        <f>Plant_Name</f>
        <v>Your Plant</v>
      </c>
      <c r="I89" s="165"/>
      <c r="J89" s="194"/>
      <c r="K89" s="101"/>
      <c r="L89" s="101"/>
      <c r="M89" s="195" t="s">
        <v>12</v>
      </c>
      <c r="N89" s="193" t="str">
        <f>City</f>
        <v>Anytown</v>
      </c>
      <c r="O89" s="2"/>
    </row>
    <row r="90" spans="2:15" ht="18">
      <c r="B90" s="19"/>
      <c r="C90" s="83"/>
      <c r="D90" s="84"/>
      <c r="E90" s="84"/>
      <c r="F90" s="190" t="s">
        <v>82</v>
      </c>
      <c r="G90" s="163"/>
      <c r="H90" s="192">
        <v>50</v>
      </c>
      <c r="I90" s="167"/>
      <c r="J90" s="196"/>
      <c r="K90" s="84"/>
      <c r="L90" s="115"/>
      <c r="M90" s="197" t="s">
        <v>13</v>
      </c>
      <c r="N90" s="193" t="str">
        <f>N7</f>
        <v>Oregon</v>
      </c>
    </row>
    <row r="91" spans="2:15" ht="18">
      <c r="C91" s="106"/>
      <c r="D91" s="163"/>
      <c r="E91" s="163"/>
      <c r="F91" s="164"/>
      <c r="G91" s="163"/>
      <c r="H91" s="164"/>
      <c r="I91" s="167"/>
      <c r="J91" s="168"/>
      <c r="K91" s="169"/>
      <c r="L91" s="109"/>
      <c r="M91" s="166"/>
      <c r="N91" s="164"/>
    </row>
    <row r="92" spans="2:15" ht="23.25">
      <c r="C92" s="162" t="str">
        <f>"Total savings over "&amp;F62&amp;" years provided by an Advanced Grit Removal system from Hydro International:"</f>
        <v>Total savings over 30 years provided by an Advanced Grit Removal system from Hydro International:</v>
      </c>
    </row>
    <row r="93" spans="2:15" ht="33.75">
      <c r="D93" s="227">
        <f>F63-F67</f>
        <v>17176080.67669173</v>
      </c>
      <c r="E93" s="227"/>
      <c r="F93" s="227"/>
      <c r="G93" s="227"/>
    </row>
    <row r="94" spans="2:15" ht="33.75">
      <c r="D94" s="170"/>
      <c r="E94" s="170"/>
      <c r="F94" s="170"/>
      <c r="G94" s="170"/>
    </row>
    <row r="95" spans="2:15" ht="30">
      <c r="F95" s="171" t="str">
        <f>"Cumulative Maintenance Costs over " &amp;Lifetime&amp; " years"</f>
        <v>Cumulative Maintenance Costs over 30 years</v>
      </c>
    </row>
    <row r="97" spans="15:15" ht="14.25">
      <c r="O97" s="19"/>
    </row>
    <row r="100" spans="15:15" ht="14.25">
      <c r="O100" s="19"/>
    </row>
    <row r="101" spans="15:15" ht="14.25">
      <c r="O101" s="19"/>
    </row>
    <row r="115" spans="15:15" ht="14.25">
      <c r="O115" s="19"/>
    </row>
    <row r="116" spans="15:15" ht="14.25">
      <c r="O116" s="19"/>
    </row>
    <row r="129" spans="7:15" ht="67.5" customHeight="1">
      <c r="G129" s="171" t="s">
        <v>59</v>
      </c>
      <c r="H129" s="172"/>
    </row>
    <row r="131" spans="7:15" ht="14.25">
      <c r="O131" s="19"/>
    </row>
    <row r="132" spans="7:15" ht="14.25">
      <c r="O132" s="19"/>
    </row>
    <row r="134" spans="7:15" ht="14.25">
      <c r="O134" s="19"/>
    </row>
    <row r="171" spans="4:14" ht="28.5">
      <c r="D171" s="225" t="s">
        <v>124</v>
      </c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</row>
  </sheetData>
  <sheetProtection selectLockedCells="1"/>
  <mergeCells count="37">
    <mergeCell ref="L39:N39"/>
    <mergeCell ref="L35:N35"/>
    <mergeCell ref="L31:N31"/>
    <mergeCell ref="L23:N23"/>
    <mergeCell ref="L27:N27"/>
    <mergeCell ref="B9:O9"/>
    <mergeCell ref="L12:N12"/>
    <mergeCell ref="L13:N13"/>
    <mergeCell ref="L19:N19"/>
    <mergeCell ref="L15:N15"/>
    <mergeCell ref="B10:O10"/>
    <mergeCell ref="B11:O11"/>
    <mergeCell ref="D171:N171"/>
    <mergeCell ref="D93:G93"/>
    <mergeCell ref="C50:N50"/>
    <mergeCell ref="C49:N49"/>
    <mergeCell ref="I72:N72"/>
    <mergeCell ref="D83:G83"/>
    <mergeCell ref="C79:E79"/>
    <mergeCell ref="C78:E78"/>
    <mergeCell ref="C77:E77"/>
    <mergeCell ref="C76:E76"/>
    <mergeCell ref="C75:E75"/>
    <mergeCell ref="C74:E74"/>
    <mergeCell ref="F79:H79"/>
    <mergeCell ref="F78:H78"/>
    <mergeCell ref="F77:H77"/>
    <mergeCell ref="F76:H76"/>
    <mergeCell ref="L43:N43"/>
    <mergeCell ref="G47:H47"/>
    <mergeCell ref="C72:H72"/>
    <mergeCell ref="L45:N45"/>
    <mergeCell ref="F75:H75"/>
    <mergeCell ref="F74:H74"/>
    <mergeCell ref="D52:H52"/>
    <mergeCell ref="J52:N52"/>
    <mergeCell ref="C60:N60"/>
  </mergeCells>
  <hyperlinks>
    <hyperlink ref="N2" r:id="rId1" xr:uid="{B3E623BE-354C-4771-B716-6EAA59F0F1A1}"/>
    <hyperlink ref="N86" r:id="rId2" xr:uid="{F5A64098-E39E-4E26-8F6C-B42F4FCDBE1B}"/>
  </hyperlinks>
  <pageMargins left="0.7" right="0.7" top="0.38187500000000002" bottom="0.75" header="0.3" footer="0.3"/>
  <pageSetup scale="47" fitToHeight="2" orientation="portrait" r:id="rId3"/>
  <headerFooter scaleWithDoc="0" alignWithMargins="0"/>
  <rowBreaks count="1" manualBreakCount="1">
    <brk id="83" min="1" max="14" man="1"/>
  </rowBreaks>
  <colBreaks count="1" manualBreakCount="1">
    <brk id="15" max="154" man="1"/>
  </colBreaks>
  <drawing r:id="rId4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6000000}">
          <x14:formula1>
            <xm:f>Instructions!$A$63:$A$67</xm:f>
          </x14:formula1>
          <xm:sqref>F55</xm:sqref>
        </x14:dataValidation>
        <x14:dataValidation type="list" allowBlank="1" showInputMessage="1" showErrorMessage="1" xr:uid="{00000000-0002-0000-0100-000007000000}">
          <x14:formula1>
            <xm:f>'Plant Data'!$A$5:$A$6</xm:f>
          </x14:formula1>
          <xm:sqref>D15</xm:sqref>
        </x14:dataValidation>
        <x14:dataValidation type="list" allowBlank="1" showInputMessage="1" showErrorMessage="1" xr:uid="{00000000-0002-0000-0100-000004000000}">
          <x14:formula1>
            <xm:f>'Plant Data'!$A$10:$A$12</xm:f>
          </x14:formula1>
          <xm:sqref>D19</xm:sqref>
        </x14:dataValidation>
        <x14:dataValidation type="list" allowBlank="1" showInputMessage="1" showErrorMessage="1" xr:uid="{00000000-0002-0000-0100-000003000000}">
          <x14:formula1>
            <xm:f>'Plant Data'!$A$15:$A$18</xm:f>
          </x14:formula1>
          <xm:sqref>D23</xm:sqref>
        </x14:dataValidation>
        <x14:dataValidation type="list" allowBlank="1" showInputMessage="1" showErrorMessage="1" xr:uid="{00000000-0002-0000-0100-000008000000}">
          <x14:formula1>
            <xm:f>'Plant Data'!$A$21:$A$22</xm:f>
          </x14:formula1>
          <xm:sqref>D27</xm:sqref>
        </x14:dataValidation>
        <x14:dataValidation type="list" allowBlank="1" showInputMessage="1" showErrorMessage="1" xr:uid="{00000000-0002-0000-0100-000002000000}">
          <x14:formula1>
            <xm:f>'Plant Data'!$A$25:$A$26</xm:f>
          </x14:formula1>
          <xm:sqref>D31</xm:sqref>
        </x14:dataValidation>
        <x14:dataValidation type="list" allowBlank="1" showInputMessage="1" showErrorMessage="1" xr:uid="{00000000-0002-0000-0100-000001000000}">
          <x14:formula1>
            <xm:f>'Plant Data'!$A$29:$A$32</xm:f>
          </x14:formula1>
          <xm:sqref>D35</xm:sqref>
        </x14:dataValidation>
        <x14:dataValidation type="list" allowBlank="1" showInputMessage="1" showErrorMessage="1" xr:uid="{00000000-0002-0000-0100-000000000000}">
          <x14:formula1>
            <xm:f>'Plant Data'!$A$35:$A$37</xm:f>
          </x14:formula1>
          <xm:sqref>D39</xm:sqref>
        </x14:dataValidation>
        <x14:dataValidation type="list" allowBlank="1" showInputMessage="1" showErrorMessage="1" xr:uid="{00000000-0002-0000-0100-000005000000}">
          <x14:formula1>
            <xm:f>'Plant Data'!$A$40:$A$40</xm:f>
          </x14:formula1>
          <xm:sqref>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A1:K43"/>
  <sheetViews>
    <sheetView zoomScale="145" zoomScaleNormal="145" workbookViewId="0">
      <pane ySplit="3" topLeftCell="A4" activePane="bottomLeft" state="frozen"/>
      <selection pane="bottomLeft" activeCell="A40" sqref="A40:XFD40"/>
    </sheetView>
  </sheetViews>
  <sheetFormatPr defaultRowHeight="15"/>
  <cols>
    <col min="1" max="1" width="23.5703125" style="5" customWidth="1"/>
    <col min="2" max="2" width="62.42578125" style="5" customWidth="1"/>
    <col min="3" max="3" width="14.5703125" style="5" bestFit="1" customWidth="1"/>
    <col min="4" max="4" width="15.85546875" style="5" bestFit="1" customWidth="1"/>
    <col min="5" max="5" width="16" style="3" customWidth="1"/>
    <col min="6" max="16384" width="9.140625" style="5"/>
  </cols>
  <sheetData>
    <row r="1" spans="1:11" ht="18" customHeight="1">
      <c r="A1" s="1" t="s">
        <v>10</v>
      </c>
      <c r="B1" s="1"/>
      <c r="C1" s="2"/>
      <c r="D1" s="2"/>
      <c r="F1" s="2"/>
      <c r="G1" s="4"/>
      <c r="H1" s="4"/>
      <c r="I1" s="4"/>
      <c r="J1" s="4"/>
      <c r="K1" s="4"/>
    </row>
    <row r="2" spans="1:11">
      <c r="A2" s="6"/>
      <c r="B2" s="6"/>
      <c r="C2" s="255" t="s">
        <v>1</v>
      </c>
      <c r="D2" s="255"/>
      <c r="E2" s="7"/>
      <c r="F2" s="6"/>
      <c r="G2" s="4"/>
      <c r="H2" s="4"/>
      <c r="I2" s="4"/>
      <c r="J2" s="4"/>
      <c r="K2" s="4"/>
    </row>
    <row r="3" spans="1:11" ht="27.75" customHeight="1">
      <c r="A3" s="8" t="s">
        <v>47</v>
      </c>
      <c r="B3" s="8" t="s">
        <v>45</v>
      </c>
      <c r="C3" s="8" t="s">
        <v>49</v>
      </c>
      <c r="D3" s="8" t="s">
        <v>46</v>
      </c>
      <c r="E3" s="9" t="s">
        <v>36</v>
      </c>
      <c r="F3" s="9" t="s">
        <v>48</v>
      </c>
      <c r="G3" s="4"/>
      <c r="H3" s="4"/>
      <c r="I3" s="4"/>
      <c r="J3" s="4"/>
      <c r="K3" s="4"/>
    </row>
    <row r="4" spans="1:11">
      <c r="A4" s="6" t="s">
        <v>9</v>
      </c>
      <c r="B4" s="10"/>
      <c r="C4" s="10"/>
      <c r="D4" s="10"/>
      <c r="E4" s="11"/>
      <c r="F4" s="11"/>
      <c r="G4" s="4"/>
      <c r="H4" s="4"/>
      <c r="I4" s="4"/>
      <c r="J4" s="4"/>
      <c r="K4" s="4"/>
    </row>
    <row r="5" spans="1:11">
      <c r="A5" s="6" t="s">
        <v>61</v>
      </c>
      <c r="B5" s="10"/>
      <c r="C5" s="10"/>
      <c r="D5" s="10"/>
      <c r="E5" s="11"/>
      <c r="F5" s="11"/>
      <c r="G5" s="12"/>
      <c r="H5" s="2"/>
    </row>
    <row r="6" spans="1:11">
      <c r="A6" s="2" t="s">
        <v>62</v>
      </c>
      <c r="B6" s="13" t="s">
        <v>83</v>
      </c>
      <c r="C6" s="14">
        <v>19</v>
      </c>
      <c r="D6" s="14">
        <v>24</v>
      </c>
      <c r="E6" s="15">
        <f>84000/(19*365)</f>
        <v>12.112472963229992</v>
      </c>
      <c r="F6" s="2" t="s">
        <v>2</v>
      </c>
      <c r="H6" s="2"/>
    </row>
    <row r="7" spans="1:11">
      <c r="A7" s="2"/>
      <c r="B7" s="13"/>
      <c r="C7" s="14"/>
      <c r="D7" s="14"/>
      <c r="E7" s="15"/>
      <c r="F7" s="2"/>
      <c r="H7" s="2"/>
    </row>
    <row r="8" spans="1:11">
      <c r="A8" s="16"/>
      <c r="B8" s="16"/>
      <c r="C8" s="17"/>
      <c r="D8" s="2"/>
      <c r="E8" s="15"/>
      <c r="F8" s="2"/>
      <c r="G8" s="2"/>
      <c r="H8" s="2"/>
    </row>
    <row r="9" spans="1:11">
      <c r="A9" s="18" t="s">
        <v>4</v>
      </c>
      <c r="B9" s="18"/>
      <c r="C9" s="2"/>
      <c r="D9" s="2"/>
      <c r="E9" s="15"/>
      <c r="F9" s="2"/>
      <c r="G9" s="2"/>
      <c r="H9" s="2"/>
    </row>
    <row r="10" spans="1:11">
      <c r="A10" s="18" t="s">
        <v>61</v>
      </c>
      <c r="B10" s="18"/>
      <c r="C10" s="2"/>
      <c r="D10" s="2"/>
      <c r="E10" s="15"/>
      <c r="F10" s="2"/>
      <c r="G10" s="2"/>
      <c r="H10" s="2"/>
    </row>
    <row r="11" spans="1:11">
      <c r="A11" s="2" t="s">
        <v>62</v>
      </c>
      <c r="B11" s="13" t="s">
        <v>84</v>
      </c>
      <c r="C11" s="14">
        <v>19</v>
      </c>
      <c r="D11" s="14">
        <v>24</v>
      </c>
      <c r="E11" s="15">
        <f>500000/(19*365*5)</f>
        <v>14.419610670511895</v>
      </c>
      <c r="F11" s="2" t="s">
        <v>21</v>
      </c>
      <c r="G11" s="2"/>
      <c r="H11" s="2"/>
    </row>
    <row r="12" spans="1:11">
      <c r="A12" s="2" t="s">
        <v>63</v>
      </c>
      <c r="B12" s="13" t="s">
        <v>85</v>
      </c>
      <c r="C12" s="14">
        <v>21</v>
      </c>
      <c r="D12" s="14">
        <v>60</v>
      </c>
      <c r="E12" s="15">
        <f>230000/(C12*365)</f>
        <v>30.00652315720809</v>
      </c>
      <c r="F12" s="2" t="s">
        <v>37</v>
      </c>
      <c r="G12" s="2"/>
      <c r="H12" s="19"/>
    </row>
    <row r="13" spans="1:11">
      <c r="A13" s="20"/>
      <c r="B13" s="20"/>
      <c r="E13" s="15"/>
      <c r="F13" s="2"/>
      <c r="G13" s="2"/>
      <c r="H13" s="2"/>
    </row>
    <row r="14" spans="1:11">
      <c r="A14" s="18" t="s">
        <v>5</v>
      </c>
      <c r="B14" s="18"/>
      <c r="C14" s="2"/>
      <c r="D14" s="2"/>
      <c r="E14" s="15"/>
      <c r="F14" s="2"/>
      <c r="G14" s="2"/>
      <c r="H14" s="2"/>
    </row>
    <row r="15" spans="1:11">
      <c r="A15" s="18" t="s">
        <v>61</v>
      </c>
      <c r="B15" s="18"/>
      <c r="C15" s="2"/>
      <c r="D15" s="2"/>
      <c r="E15" s="15"/>
      <c r="F15" s="2"/>
      <c r="G15" s="2"/>
      <c r="H15" s="2"/>
    </row>
    <row r="16" spans="1:11">
      <c r="A16" s="2" t="s">
        <v>64</v>
      </c>
      <c r="B16" s="13" t="s">
        <v>92</v>
      </c>
      <c r="C16" s="14">
        <v>4</v>
      </c>
      <c r="D16" s="14">
        <v>7</v>
      </c>
      <c r="E16" s="15">
        <f>38370/(C16*365*5)</f>
        <v>5.2561643835616438</v>
      </c>
      <c r="F16" s="2" t="s">
        <v>22</v>
      </c>
      <c r="G16" s="2"/>
      <c r="H16" s="2"/>
    </row>
    <row r="17" spans="1:8">
      <c r="A17" s="2" t="s">
        <v>65</v>
      </c>
      <c r="B17" s="13" t="s">
        <v>86</v>
      </c>
      <c r="C17" s="14">
        <v>180</v>
      </c>
      <c r="D17" s="14">
        <v>600</v>
      </c>
      <c r="E17" s="15">
        <f>475200/(C17*365)</f>
        <v>7.2328767123287667</v>
      </c>
      <c r="F17" s="2" t="s">
        <v>6</v>
      </c>
      <c r="G17" s="2"/>
      <c r="H17" s="19"/>
    </row>
    <row r="18" spans="1:8">
      <c r="A18" s="2" t="s">
        <v>66</v>
      </c>
      <c r="B18" s="13" t="s">
        <v>93</v>
      </c>
      <c r="C18" s="14">
        <v>13.5</v>
      </c>
      <c r="D18" s="14">
        <v>50</v>
      </c>
      <c r="E18" s="15">
        <v>5.97</v>
      </c>
      <c r="F18" s="2" t="s">
        <v>39</v>
      </c>
      <c r="G18" s="2"/>
      <c r="H18" s="2"/>
    </row>
    <row r="19" spans="1:8">
      <c r="A19" s="16"/>
      <c r="B19" s="16"/>
      <c r="C19" s="17"/>
      <c r="D19" s="2"/>
      <c r="E19" s="15"/>
      <c r="F19" s="2"/>
      <c r="G19" s="2"/>
      <c r="H19" s="2"/>
    </row>
    <row r="20" spans="1:8">
      <c r="A20" s="21" t="s">
        <v>75</v>
      </c>
      <c r="B20" s="16"/>
      <c r="C20" s="17"/>
      <c r="D20" s="2"/>
      <c r="E20" s="15"/>
      <c r="F20" s="2"/>
      <c r="G20" s="2"/>
      <c r="H20" s="2"/>
    </row>
    <row r="21" spans="1:8">
      <c r="A21" s="18" t="s">
        <v>61</v>
      </c>
      <c r="B21" s="16"/>
      <c r="C21" s="17"/>
      <c r="D21" s="2"/>
      <c r="E21" s="15"/>
      <c r="F21" s="2"/>
      <c r="G21" s="2"/>
      <c r="H21" s="2"/>
    </row>
    <row r="22" spans="1:8">
      <c r="A22" s="22" t="s">
        <v>76</v>
      </c>
      <c r="B22" s="13" t="s">
        <v>91</v>
      </c>
      <c r="C22" s="14">
        <v>50</v>
      </c>
      <c r="D22" s="14"/>
      <c r="E22" s="15">
        <v>13.09</v>
      </c>
      <c r="F22" s="14" t="s">
        <v>77</v>
      </c>
      <c r="G22" s="2"/>
      <c r="H22" s="2"/>
    </row>
    <row r="23" spans="1:8">
      <c r="A23" s="16"/>
      <c r="B23" s="16"/>
      <c r="C23" s="17"/>
      <c r="D23" s="2"/>
      <c r="E23" s="15"/>
      <c r="F23" s="2"/>
      <c r="G23" s="2"/>
      <c r="H23" s="2"/>
    </row>
    <row r="24" spans="1:8">
      <c r="A24" s="18" t="s">
        <v>0</v>
      </c>
      <c r="B24" s="18"/>
      <c r="C24" s="2"/>
      <c r="D24" s="2"/>
      <c r="E24" s="15"/>
      <c r="F24" s="2"/>
      <c r="G24" s="2"/>
      <c r="H24" s="2"/>
    </row>
    <row r="25" spans="1:8">
      <c r="A25" s="18" t="s">
        <v>61</v>
      </c>
      <c r="B25" s="18"/>
      <c r="C25" s="2"/>
      <c r="D25" s="2"/>
      <c r="E25" s="15"/>
      <c r="F25" s="2"/>
      <c r="G25" s="2"/>
      <c r="H25" s="2"/>
    </row>
    <row r="26" spans="1:8">
      <c r="A26" s="2" t="s">
        <v>67</v>
      </c>
      <c r="B26" s="23" t="s">
        <v>94</v>
      </c>
      <c r="C26" s="14">
        <v>12</v>
      </c>
      <c r="D26" s="14">
        <v>52</v>
      </c>
      <c r="E26" s="15">
        <f>55000/(C26*365)</f>
        <v>12.557077625570777</v>
      </c>
      <c r="F26" s="2" t="s">
        <v>23</v>
      </c>
      <c r="G26" s="2"/>
      <c r="H26" s="2"/>
    </row>
    <row r="27" spans="1:8">
      <c r="A27" s="16"/>
      <c r="B27" s="16"/>
      <c r="C27" s="17"/>
      <c r="E27" s="15"/>
      <c r="F27" s="2"/>
      <c r="H27" s="2"/>
    </row>
    <row r="28" spans="1:8">
      <c r="A28" s="18" t="s">
        <v>28</v>
      </c>
      <c r="B28" s="18"/>
      <c r="C28" s="2"/>
      <c r="D28" s="2"/>
      <c r="E28" s="15"/>
      <c r="F28" s="2"/>
      <c r="G28" s="2"/>
      <c r="H28" s="2"/>
    </row>
    <row r="29" spans="1:8">
      <c r="A29" s="18" t="s">
        <v>61</v>
      </c>
      <c r="B29" s="18"/>
      <c r="C29" s="2"/>
      <c r="D29" s="2"/>
      <c r="E29" s="15"/>
      <c r="F29" s="2"/>
      <c r="G29" s="2"/>
      <c r="H29" s="2"/>
    </row>
    <row r="30" spans="1:8">
      <c r="A30" s="2" t="s">
        <v>70</v>
      </c>
      <c r="B30" s="13" t="s">
        <v>95</v>
      </c>
      <c r="C30" s="14">
        <v>18</v>
      </c>
      <c r="D30" s="14">
        <v>30</v>
      </c>
      <c r="E30" s="15">
        <f>400000/(C30*365*10)</f>
        <v>6.0882800608828003</v>
      </c>
      <c r="F30" s="2" t="s">
        <v>20</v>
      </c>
      <c r="G30" s="2"/>
      <c r="H30" s="2"/>
    </row>
    <row r="31" spans="1:8">
      <c r="A31" s="2" t="s">
        <v>71</v>
      </c>
      <c r="B31" s="13" t="s">
        <v>96</v>
      </c>
      <c r="C31" s="14">
        <v>350</v>
      </c>
      <c r="D31" s="14">
        <v>450</v>
      </c>
      <c r="E31" s="15">
        <f>1500000/(C31*365)</f>
        <v>11.741682974559687</v>
      </c>
      <c r="F31" s="2" t="s">
        <v>3</v>
      </c>
      <c r="G31" s="2"/>
      <c r="H31" s="2"/>
    </row>
    <row r="32" spans="1:8">
      <c r="A32" s="2" t="s">
        <v>63</v>
      </c>
      <c r="B32" s="13" t="s">
        <v>97</v>
      </c>
      <c r="C32" s="14">
        <v>21</v>
      </c>
      <c r="D32" s="14">
        <v>60</v>
      </c>
      <c r="E32" s="15">
        <f>99000/(C32*365)</f>
        <v>12.915851272015656</v>
      </c>
      <c r="F32" s="2" t="s">
        <v>38</v>
      </c>
      <c r="G32" s="2"/>
      <c r="H32" s="2"/>
    </row>
    <row r="33" spans="1:8">
      <c r="A33" s="16"/>
      <c r="B33" s="16"/>
      <c r="C33" s="14"/>
      <c r="D33" s="14"/>
      <c r="E33" s="15"/>
      <c r="F33" s="2"/>
      <c r="G33" s="2"/>
      <c r="H33" s="19"/>
    </row>
    <row r="34" spans="1:8">
      <c r="A34" s="18" t="s">
        <v>7</v>
      </c>
      <c r="B34" s="18"/>
      <c r="C34" s="14"/>
      <c r="D34" s="14"/>
      <c r="E34" s="15"/>
      <c r="F34" s="2"/>
      <c r="G34" s="2"/>
      <c r="H34" s="2"/>
    </row>
    <row r="35" spans="1:8">
      <c r="A35" s="18" t="s">
        <v>61</v>
      </c>
      <c r="B35" s="18"/>
      <c r="C35" s="14"/>
      <c r="D35" s="14"/>
      <c r="E35" s="15"/>
      <c r="F35" s="2"/>
      <c r="G35" s="2"/>
      <c r="H35" s="2"/>
    </row>
    <row r="36" spans="1:8">
      <c r="A36" s="2" t="s">
        <v>72</v>
      </c>
      <c r="B36" s="13" t="s">
        <v>98</v>
      </c>
      <c r="C36" s="14">
        <v>7.6</v>
      </c>
      <c r="D36" s="14">
        <v>35</v>
      </c>
      <c r="E36" s="15">
        <f>20000/(8*365)</f>
        <v>6.8493150684931505</v>
      </c>
      <c r="F36" s="2" t="s">
        <v>8</v>
      </c>
      <c r="G36" s="2"/>
      <c r="H36" s="2"/>
    </row>
    <row r="37" spans="1:8">
      <c r="A37" s="2" t="s">
        <v>73</v>
      </c>
      <c r="B37" s="13" t="s">
        <v>99</v>
      </c>
      <c r="C37" s="14">
        <v>76</v>
      </c>
      <c r="D37" s="14">
        <v>120</v>
      </c>
      <c r="E37" s="15">
        <f>150000/(76*365)</f>
        <v>5.407354001441961</v>
      </c>
      <c r="F37" s="2" t="s">
        <v>40</v>
      </c>
      <c r="G37" s="2"/>
      <c r="H37" s="2"/>
    </row>
    <row r="39" spans="1:8">
      <c r="A39" s="18" t="s">
        <v>68</v>
      </c>
      <c r="B39" s="18"/>
      <c r="C39" s="14"/>
      <c r="D39" s="14"/>
      <c r="E39" s="15"/>
      <c r="F39" s="2"/>
      <c r="G39" s="2"/>
      <c r="H39" s="2"/>
    </row>
    <row r="40" spans="1:8">
      <c r="A40" s="18" t="s">
        <v>61</v>
      </c>
      <c r="B40" s="18"/>
      <c r="C40" s="14"/>
      <c r="D40" s="14"/>
      <c r="E40" s="15"/>
      <c r="F40" s="2"/>
      <c r="G40" s="2"/>
      <c r="H40" s="2"/>
    </row>
    <row r="42" spans="1:8">
      <c r="A42" s="18" t="s">
        <v>69</v>
      </c>
      <c r="B42" s="18"/>
      <c r="C42" s="14"/>
      <c r="D42" s="14"/>
      <c r="E42" s="15"/>
      <c r="F42" s="2"/>
      <c r="G42" s="2"/>
      <c r="H42" s="2"/>
    </row>
    <row r="43" spans="1:8">
      <c r="A43" s="18" t="s">
        <v>61</v>
      </c>
      <c r="B43" s="18"/>
      <c r="C43" s="14"/>
      <c r="D43" s="14"/>
      <c r="E43" s="15"/>
      <c r="F43" s="2"/>
      <c r="G43" s="2"/>
      <c r="H43" s="2"/>
    </row>
  </sheetData>
  <mergeCells count="1"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581"/>
  <sheetViews>
    <sheetView zoomScale="85" zoomScaleNormal="85" zoomScaleSheetLayoutView="89" workbookViewId="0">
      <selection activeCell="A58" sqref="A58"/>
    </sheetView>
  </sheetViews>
  <sheetFormatPr defaultRowHeight="15"/>
  <cols>
    <col min="1" max="1" width="80.85546875" style="5" customWidth="1"/>
    <col min="2" max="2" width="14.85546875" style="5" customWidth="1"/>
    <col min="3" max="3" width="17.140625" style="5" customWidth="1"/>
    <col min="4" max="4" width="31.5703125" style="5" customWidth="1"/>
    <col min="5" max="5" width="22" style="5" customWidth="1"/>
    <col min="6" max="16384" width="9.140625" style="32"/>
  </cols>
  <sheetData>
    <row r="1" spans="1:5" ht="15.75">
      <c r="A1" s="278" t="s">
        <v>33</v>
      </c>
      <c r="B1" s="272"/>
      <c r="C1" s="272"/>
      <c r="D1" s="272"/>
      <c r="E1" s="33"/>
    </row>
    <row r="2" spans="1:5" s="35" customFormat="1">
      <c r="A2" s="273" t="s">
        <v>15</v>
      </c>
      <c r="B2" s="285"/>
      <c r="C2" s="285"/>
      <c r="D2" s="285"/>
      <c r="E2" s="274"/>
    </row>
    <row r="3" spans="1:5" s="35" customFormat="1" ht="16.5" customHeight="1">
      <c r="A3" s="273" t="s">
        <v>41</v>
      </c>
      <c r="B3" s="285"/>
      <c r="C3" s="285"/>
      <c r="D3" s="285"/>
      <c r="E3" s="274"/>
    </row>
    <row r="4" spans="1:5" s="35" customFormat="1" ht="17.25" customHeight="1">
      <c r="A4" s="286" t="s">
        <v>42</v>
      </c>
      <c r="B4" s="287"/>
      <c r="C4" s="287"/>
      <c r="D4" s="287"/>
      <c r="E4" s="274"/>
    </row>
    <row r="5" spans="1:5" s="35" customFormat="1">
      <c r="A5" s="288" t="s">
        <v>101</v>
      </c>
      <c r="B5" s="289"/>
      <c r="C5" s="284"/>
      <c r="D5" s="284"/>
      <c r="E5" s="284"/>
    </row>
    <row r="6" spans="1:5">
      <c r="A6" s="292" t="s">
        <v>100</v>
      </c>
      <c r="B6" s="284"/>
      <c r="C6" s="284"/>
      <c r="D6" s="284"/>
      <c r="E6" s="284"/>
    </row>
    <row r="7" spans="1:5" ht="15.75">
      <c r="A7" s="279"/>
      <c r="B7" s="274"/>
      <c r="C7" s="274"/>
      <c r="D7" s="274"/>
      <c r="E7" s="32"/>
    </row>
    <row r="8" spans="1:5" ht="15" customHeight="1">
      <c r="A8" s="278" t="s">
        <v>104</v>
      </c>
      <c r="B8" s="280"/>
      <c r="C8" s="280"/>
      <c r="D8" s="280"/>
      <c r="E8" s="34"/>
    </row>
    <row r="9" spans="1:5" s="35" customFormat="1" ht="15" customHeight="1">
      <c r="A9" s="50" t="s">
        <v>105</v>
      </c>
      <c r="B9" s="51"/>
      <c r="C9" s="52"/>
      <c r="D9" s="52"/>
      <c r="E9" s="53"/>
    </row>
    <row r="10" spans="1:5" s="35" customFormat="1" ht="15" customHeight="1">
      <c r="A10" s="54"/>
      <c r="B10" s="55"/>
      <c r="C10" s="45"/>
      <c r="D10" s="45"/>
      <c r="E10" s="56"/>
    </row>
    <row r="11" spans="1:5" s="35" customFormat="1" ht="15" customHeight="1">
      <c r="A11" s="54"/>
      <c r="B11" s="55"/>
      <c r="C11" s="45"/>
      <c r="D11" s="45"/>
      <c r="E11" s="56"/>
    </row>
    <row r="12" spans="1:5" s="35" customFormat="1" ht="15" customHeight="1">
      <c r="A12" s="57"/>
      <c r="B12" s="58"/>
      <c r="C12" s="59"/>
      <c r="D12" s="59"/>
      <c r="E12" s="60"/>
    </row>
    <row r="13" spans="1:5" s="35" customFormat="1" ht="15" customHeight="1">
      <c r="A13" s="61"/>
      <c r="B13" s="55"/>
      <c r="C13" s="45"/>
      <c r="D13" s="45"/>
      <c r="E13" s="62"/>
    </row>
    <row r="14" spans="1:5" s="35" customFormat="1" ht="36.75" customHeight="1">
      <c r="A14" s="290" t="s">
        <v>106</v>
      </c>
      <c r="B14" s="291"/>
      <c r="C14" s="63"/>
      <c r="D14" s="63"/>
      <c r="E14" s="64"/>
    </row>
    <row r="15" spans="1:5" s="35" customFormat="1">
      <c r="A15" s="65"/>
      <c r="B15" s="45"/>
      <c r="C15" s="45"/>
      <c r="D15" s="45"/>
      <c r="E15" s="66"/>
    </row>
    <row r="16" spans="1:5" s="35" customFormat="1">
      <c r="A16" s="65" t="s">
        <v>103</v>
      </c>
      <c r="B16" s="45"/>
      <c r="C16" s="45"/>
      <c r="D16" s="45"/>
      <c r="E16" s="66"/>
    </row>
    <row r="17" spans="1:5" s="35" customFormat="1">
      <c r="A17" s="67"/>
      <c r="B17" s="45"/>
      <c r="C17" s="45"/>
      <c r="D17" s="45"/>
      <c r="E17" s="66"/>
    </row>
    <row r="18" spans="1:5" s="35" customFormat="1">
      <c r="A18" s="68" t="s">
        <v>143</v>
      </c>
      <c r="B18" s="45"/>
      <c r="C18" s="45"/>
      <c r="D18" s="45"/>
      <c r="E18" s="66"/>
    </row>
    <row r="19" spans="1:5" s="35" customFormat="1">
      <c r="A19" s="68"/>
      <c r="B19" s="45"/>
      <c r="C19" s="45"/>
      <c r="D19" s="45"/>
      <c r="E19" s="66"/>
    </row>
    <row r="20" spans="1:5" s="35" customFormat="1">
      <c r="A20" s="65" t="s">
        <v>144</v>
      </c>
      <c r="B20" s="45"/>
      <c r="C20" s="45"/>
      <c r="D20" s="45"/>
      <c r="E20" s="66"/>
    </row>
    <row r="21" spans="1:5" s="35" customFormat="1">
      <c r="A21" s="215"/>
      <c r="B21" s="216"/>
      <c r="C21" s="216"/>
      <c r="D21" s="216"/>
      <c r="E21" s="66"/>
    </row>
    <row r="22" spans="1:5" s="35" customFormat="1">
      <c r="A22" s="215"/>
      <c r="B22" s="216"/>
      <c r="C22" s="216"/>
      <c r="D22" s="216"/>
      <c r="E22" s="66"/>
    </row>
    <row r="23" spans="1:5" s="35" customFormat="1">
      <c r="A23" s="215"/>
      <c r="B23" s="216"/>
      <c r="C23" s="216"/>
      <c r="D23" s="216"/>
      <c r="E23" s="66"/>
    </row>
    <row r="24" spans="1:5" s="35" customFormat="1">
      <c r="A24" s="215"/>
      <c r="B24" s="216"/>
      <c r="C24" s="216"/>
      <c r="D24" s="216"/>
      <c r="E24" s="66"/>
    </row>
    <row r="25" spans="1:5" s="35" customFormat="1">
      <c r="A25" s="215"/>
      <c r="B25" s="216"/>
      <c r="C25" s="216"/>
      <c r="D25" s="216"/>
      <c r="E25" s="66"/>
    </row>
    <row r="26" spans="1:5" s="35" customFormat="1">
      <c r="A26" s="215"/>
      <c r="B26" s="216"/>
      <c r="C26" s="216"/>
      <c r="D26" s="216"/>
      <c r="E26" s="66"/>
    </row>
    <row r="27" spans="1:5" s="35" customFormat="1">
      <c r="A27" s="215"/>
      <c r="B27" s="216"/>
      <c r="C27" s="216"/>
      <c r="D27" s="216"/>
      <c r="E27" s="66"/>
    </row>
    <row r="28" spans="1:5" s="35" customFormat="1">
      <c r="A28" s="67"/>
      <c r="B28" s="69"/>
      <c r="C28" s="69"/>
      <c r="D28" s="69"/>
      <c r="E28" s="66"/>
    </row>
    <row r="29" spans="1:5" s="35" customFormat="1">
      <c r="A29" s="67"/>
      <c r="B29" s="69"/>
      <c r="C29" s="69"/>
      <c r="D29" s="69"/>
      <c r="E29" s="66"/>
    </row>
    <row r="30" spans="1:5" s="35" customFormat="1">
      <c r="A30" s="47"/>
      <c r="B30" s="48"/>
      <c r="C30" s="48"/>
      <c r="D30" s="48"/>
      <c r="E30" s="49"/>
    </row>
    <row r="31" spans="1:5" s="35" customFormat="1">
      <c r="A31" s="69"/>
      <c r="B31" s="69"/>
      <c r="C31" s="69"/>
      <c r="D31" s="69"/>
      <c r="E31" s="69"/>
    </row>
    <row r="32" spans="1:5" s="35" customFormat="1">
      <c r="A32" s="265" t="s">
        <v>107</v>
      </c>
      <c r="B32" s="266"/>
      <c r="C32" s="266"/>
      <c r="D32" s="266"/>
      <c r="E32" s="267"/>
    </row>
    <row r="33" spans="1:5" s="35" customFormat="1">
      <c r="A33" s="268" t="s">
        <v>108</v>
      </c>
      <c r="B33" s="269"/>
      <c r="C33" s="269"/>
      <c r="D33" s="269"/>
      <c r="E33" s="270"/>
    </row>
    <row r="34" spans="1:5" s="36" customFormat="1">
      <c r="A34" s="41" t="s">
        <v>110</v>
      </c>
      <c r="B34" s="42"/>
      <c r="C34" s="42"/>
      <c r="D34" s="42"/>
      <c r="E34" s="43"/>
    </row>
    <row r="35" spans="1:5" s="36" customFormat="1" ht="14.25">
      <c r="A35" s="41" t="s">
        <v>109</v>
      </c>
      <c r="B35" s="42"/>
      <c r="C35" s="42"/>
      <c r="D35" s="42"/>
      <c r="E35" s="43"/>
    </row>
    <row r="36" spans="1:5" s="35" customFormat="1">
      <c r="A36" s="44"/>
      <c r="B36" s="45"/>
      <c r="C36" s="45"/>
      <c r="D36" s="45"/>
      <c r="E36" s="46"/>
    </row>
    <row r="37" spans="1:5" s="35" customFormat="1">
      <c r="A37" s="44"/>
      <c r="B37" s="45"/>
      <c r="C37" s="45"/>
      <c r="D37" s="45"/>
      <c r="E37" s="46"/>
    </row>
    <row r="38" spans="1:5" s="35" customFormat="1">
      <c r="A38" s="44"/>
      <c r="B38" s="45"/>
      <c r="C38" s="45"/>
      <c r="D38" s="45"/>
      <c r="E38" s="46"/>
    </row>
    <row r="39" spans="1:5" s="35" customFormat="1">
      <c r="A39" s="44"/>
      <c r="B39" s="45"/>
      <c r="C39" s="45"/>
      <c r="D39" s="45"/>
      <c r="E39" s="46"/>
    </row>
    <row r="40" spans="1:5" s="35" customFormat="1">
      <c r="A40" s="44"/>
      <c r="B40" s="45"/>
      <c r="C40" s="45"/>
      <c r="D40" s="45"/>
      <c r="E40" s="46"/>
    </row>
    <row r="41" spans="1:5" s="35" customFormat="1">
      <c r="A41" s="44"/>
      <c r="B41" s="45"/>
      <c r="C41" s="45"/>
      <c r="D41" s="45"/>
      <c r="E41" s="46"/>
    </row>
    <row r="42" spans="1:5" s="35" customFormat="1">
      <c r="A42" s="44"/>
      <c r="B42" s="45"/>
      <c r="C42" s="45"/>
      <c r="D42" s="45"/>
      <c r="E42" s="46"/>
    </row>
    <row r="43" spans="1:5" s="35" customFormat="1">
      <c r="A43" s="44"/>
      <c r="B43" s="45"/>
      <c r="C43" s="45"/>
      <c r="D43" s="45"/>
      <c r="E43" s="46"/>
    </row>
    <row r="44" spans="1:5" s="35" customFormat="1">
      <c r="A44" s="44"/>
      <c r="B44" s="45"/>
      <c r="C44" s="45"/>
      <c r="D44" s="45"/>
      <c r="E44" s="46"/>
    </row>
    <row r="45" spans="1:5" s="35" customFormat="1">
      <c r="A45" s="44"/>
      <c r="B45" s="45"/>
      <c r="C45" s="45"/>
      <c r="D45" s="45"/>
      <c r="E45" s="46"/>
    </row>
    <row r="46" spans="1:5" s="35" customFormat="1">
      <c r="A46" s="44"/>
      <c r="B46" s="45"/>
      <c r="C46" s="45"/>
      <c r="D46" s="45"/>
      <c r="E46" s="46"/>
    </row>
    <row r="47" spans="1:5" s="35" customFormat="1">
      <c r="A47" s="44"/>
      <c r="B47" s="45"/>
      <c r="C47" s="45"/>
      <c r="D47" s="45"/>
      <c r="E47" s="46"/>
    </row>
    <row r="48" spans="1:5" s="35" customFormat="1">
      <c r="A48" s="44"/>
      <c r="B48" s="45"/>
      <c r="C48" s="45"/>
      <c r="D48" s="45"/>
      <c r="E48" s="46"/>
    </row>
    <row r="49" spans="1:6" s="35" customFormat="1">
      <c r="A49" s="44"/>
      <c r="B49" s="45"/>
      <c r="C49" s="45"/>
      <c r="D49" s="45"/>
      <c r="E49" s="46"/>
    </row>
    <row r="50" spans="1:6" s="35" customFormat="1">
      <c r="A50" s="44"/>
      <c r="B50" s="45"/>
      <c r="C50" s="45"/>
      <c r="D50" s="45"/>
      <c r="E50" s="46"/>
    </row>
    <row r="51" spans="1:6" s="35" customFormat="1">
      <c r="A51" s="44"/>
      <c r="B51" s="45"/>
      <c r="C51" s="45"/>
      <c r="D51" s="45"/>
      <c r="E51" s="46"/>
    </row>
    <row r="52" spans="1:6" s="35" customFormat="1">
      <c r="A52" s="47"/>
      <c r="B52" s="48"/>
      <c r="C52" s="48"/>
      <c r="D52" s="48"/>
      <c r="E52" s="49"/>
    </row>
    <row r="53" spans="1:6">
      <c r="A53" s="32"/>
      <c r="B53" s="32"/>
      <c r="C53" s="32"/>
      <c r="D53" s="32"/>
      <c r="E53" s="32"/>
    </row>
    <row r="54" spans="1:6">
      <c r="A54" s="271" t="s">
        <v>111</v>
      </c>
      <c r="B54" s="272"/>
      <c r="C54" s="272"/>
      <c r="D54" s="272"/>
      <c r="E54" s="272"/>
    </row>
    <row r="55" spans="1:6" s="35" customFormat="1">
      <c r="A55" s="37" t="s">
        <v>34</v>
      </c>
    </row>
    <row r="56" spans="1:6" s="35" customFormat="1">
      <c r="A56" s="273" t="s">
        <v>25</v>
      </c>
      <c r="B56" s="274"/>
      <c r="C56" s="274"/>
      <c r="D56" s="274"/>
      <c r="E56" s="274"/>
    </row>
    <row r="57" spans="1:6" s="35" customFormat="1">
      <c r="A57" s="36" t="s">
        <v>35</v>
      </c>
    </row>
    <row r="58" spans="1:6">
      <c r="A58" s="36"/>
      <c r="B58" s="32"/>
      <c r="C58" s="32"/>
      <c r="D58" s="32"/>
      <c r="E58" s="32"/>
    </row>
    <row r="59" spans="1:6" ht="15.75">
      <c r="A59" s="38"/>
      <c r="B59" s="32"/>
      <c r="C59" s="32"/>
      <c r="D59" s="32"/>
      <c r="E59" s="32"/>
    </row>
    <row r="60" spans="1:6">
      <c r="A60" s="32"/>
      <c r="B60" s="32"/>
      <c r="C60" s="32"/>
      <c r="D60" s="32"/>
      <c r="E60" s="32"/>
    </row>
    <row r="61" spans="1:6" ht="15.75">
      <c r="A61" s="275" t="s">
        <v>112</v>
      </c>
      <c r="B61" s="276"/>
      <c r="C61" s="276"/>
      <c r="D61" s="277"/>
      <c r="E61" s="277"/>
    </row>
    <row r="62" spans="1:6">
      <c r="A62" s="39" t="s">
        <v>117</v>
      </c>
      <c r="B62" s="258" t="s">
        <v>16</v>
      </c>
      <c r="C62" s="293"/>
      <c r="D62" s="258" t="s">
        <v>17</v>
      </c>
      <c r="E62" s="259"/>
      <c r="F62" s="70"/>
    </row>
    <row r="63" spans="1:6">
      <c r="A63" s="40" t="s">
        <v>114</v>
      </c>
      <c r="B63" s="294">
        <v>50</v>
      </c>
      <c r="C63" s="295"/>
      <c r="D63" s="260">
        <v>50</v>
      </c>
      <c r="E63" s="257"/>
      <c r="F63" s="70">
        <v>50</v>
      </c>
    </row>
    <row r="64" spans="1:6">
      <c r="A64" s="40" t="s">
        <v>18</v>
      </c>
      <c r="B64" s="264">
        <v>66</v>
      </c>
      <c r="C64" s="264"/>
      <c r="D64" s="261">
        <v>63</v>
      </c>
      <c r="E64" s="257"/>
      <c r="F64" s="70">
        <v>63</v>
      </c>
    </row>
    <row r="65" spans="1:6">
      <c r="A65" s="40" t="s">
        <v>113</v>
      </c>
      <c r="B65" s="281">
        <f>((100-66)/2)+66</f>
        <v>83</v>
      </c>
      <c r="C65" s="281"/>
      <c r="D65" s="262">
        <v>50</v>
      </c>
      <c r="E65" s="257"/>
      <c r="F65" s="70">
        <v>50</v>
      </c>
    </row>
    <row r="66" spans="1:6">
      <c r="A66" s="40" t="s">
        <v>115</v>
      </c>
      <c r="B66" s="264">
        <v>100</v>
      </c>
      <c r="C66" s="264"/>
      <c r="D66" s="263">
        <v>90</v>
      </c>
      <c r="E66" s="257"/>
      <c r="F66" s="70">
        <v>90</v>
      </c>
    </row>
    <row r="67" spans="1:6">
      <c r="A67" s="40" t="s">
        <v>116</v>
      </c>
      <c r="B67" s="281">
        <f>((100-66)/2)+66</f>
        <v>83</v>
      </c>
      <c r="C67" s="281"/>
      <c r="D67" s="256">
        <v>90</v>
      </c>
      <c r="E67" s="257"/>
      <c r="F67" s="71">
        <v>90</v>
      </c>
    </row>
    <row r="68" spans="1:6" ht="24.75" customHeight="1">
      <c r="A68" s="282" t="s">
        <v>123</v>
      </c>
      <c r="B68" s="283"/>
      <c r="C68" s="283"/>
      <c r="D68" s="284"/>
      <c r="E68" s="284"/>
    </row>
    <row r="69" spans="1:6">
      <c r="A69" s="32"/>
      <c r="B69" s="32"/>
      <c r="C69" s="32"/>
      <c r="D69" s="32"/>
      <c r="E69" s="32"/>
    </row>
    <row r="70" spans="1:6">
      <c r="A70" s="32"/>
      <c r="B70" s="32"/>
      <c r="C70" s="32"/>
      <c r="D70" s="32"/>
      <c r="E70" s="32"/>
    </row>
    <row r="71" spans="1:6">
      <c r="A71" s="32"/>
      <c r="B71" s="32"/>
      <c r="C71" s="32"/>
      <c r="D71" s="32"/>
      <c r="E71" s="32"/>
    </row>
    <row r="72" spans="1:6">
      <c r="A72" s="32"/>
      <c r="B72" s="32"/>
      <c r="C72" s="32"/>
      <c r="D72" s="32"/>
      <c r="E72" s="32"/>
    </row>
    <row r="73" spans="1:6">
      <c r="A73" s="32"/>
      <c r="B73" s="32"/>
      <c r="C73" s="32"/>
      <c r="D73" s="32"/>
      <c r="E73" s="32"/>
    </row>
    <row r="74" spans="1:6">
      <c r="A74" s="32"/>
      <c r="B74" s="32"/>
      <c r="C74" s="32"/>
      <c r="D74" s="32"/>
      <c r="E74" s="32"/>
    </row>
    <row r="75" spans="1:6">
      <c r="A75" s="32"/>
      <c r="B75" s="32"/>
      <c r="C75" s="32"/>
      <c r="D75" s="32"/>
      <c r="E75" s="32"/>
    </row>
    <row r="76" spans="1:6">
      <c r="A76" s="32"/>
      <c r="B76" s="32"/>
      <c r="C76" s="32"/>
      <c r="D76" s="32"/>
      <c r="E76" s="32"/>
    </row>
    <row r="77" spans="1:6">
      <c r="A77" s="32"/>
      <c r="B77" s="32"/>
      <c r="C77" s="32"/>
      <c r="D77" s="32"/>
      <c r="E77" s="32"/>
    </row>
    <row r="78" spans="1:6">
      <c r="A78" s="32"/>
      <c r="B78" s="32"/>
      <c r="C78" s="32"/>
      <c r="D78" s="32"/>
      <c r="E78" s="32"/>
    </row>
    <row r="79" spans="1:6">
      <c r="A79" s="32"/>
      <c r="B79" s="32"/>
      <c r="C79" s="32"/>
      <c r="D79" s="32"/>
      <c r="E79" s="32"/>
    </row>
    <row r="80" spans="1:6">
      <c r="A80" s="32"/>
      <c r="B80" s="32"/>
      <c r="C80" s="32"/>
      <c r="D80" s="32"/>
      <c r="E80" s="32"/>
    </row>
    <row r="81" spans="1:5">
      <c r="A81" s="32"/>
      <c r="B81" s="32"/>
      <c r="C81" s="32"/>
      <c r="D81" s="32"/>
      <c r="E81" s="32"/>
    </row>
    <row r="82" spans="1:5">
      <c r="A82" s="32"/>
      <c r="B82" s="32"/>
      <c r="C82" s="32"/>
      <c r="D82" s="32"/>
      <c r="E82" s="32"/>
    </row>
    <row r="83" spans="1:5">
      <c r="A83" s="32"/>
      <c r="B83" s="32"/>
      <c r="C83" s="32"/>
      <c r="D83" s="32"/>
      <c r="E83" s="32"/>
    </row>
    <row r="84" spans="1:5">
      <c r="A84" s="32"/>
      <c r="B84" s="32"/>
      <c r="C84" s="32"/>
      <c r="D84" s="32"/>
      <c r="E84" s="32"/>
    </row>
    <row r="85" spans="1:5">
      <c r="A85" s="32"/>
      <c r="B85" s="32"/>
      <c r="C85" s="32"/>
      <c r="D85" s="32"/>
      <c r="E85" s="32"/>
    </row>
    <row r="86" spans="1:5">
      <c r="A86" s="32"/>
      <c r="B86" s="32"/>
      <c r="C86" s="32"/>
      <c r="D86" s="32"/>
      <c r="E86" s="32"/>
    </row>
    <row r="87" spans="1:5">
      <c r="A87" s="32"/>
      <c r="B87" s="32"/>
      <c r="C87" s="32"/>
      <c r="D87" s="32"/>
      <c r="E87" s="32"/>
    </row>
    <row r="88" spans="1:5">
      <c r="A88" s="32"/>
      <c r="B88" s="32"/>
      <c r="C88" s="32"/>
      <c r="D88" s="32"/>
      <c r="E88" s="32"/>
    </row>
    <row r="89" spans="1:5">
      <c r="A89" s="32"/>
      <c r="B89" s="32"/>
      <c r="C89" s="32"/>
      <c r="D89" s="32"/>
      <c r="E89" s="32"/>
    </row>
    <row r="90" spans="1:5">
      <c r="A90" s="32"/>
      <c r="B90" s="32"/>
      <c r="C90" s="32"/>
      <c r="D90" s="32"/>
      <c r="E90" s="32"/>
    </row>
    <row r="91" spans="1:5">
      <c r="A91" s="32"/>
      <c r="B91" s="32"/>
      <c r="C91" s="32"/>
      <c r="D91" s="32"/>
      <c r="E91" s="32"/>
    </row>
    <row r="92" spans="1:5">
      <c r="A92" s="32"/>
      <c r="B92" s="32"/>
      <c r="C92" s="32"/>
      <c r="D92" s="32"/>
      <c r="E92" s="32"/>
    </row>
    <row r="93" spans="1:5">
      <c r="A93" s="32"/>
      <c r="B93" s="32"/>
      <c r="C93" s="32"/>
      <c r="D93" s="32"/>
      <c r="E93" s="32"/>
    </row>
    <row r="94" spans="1:5">
      <c r="A94" s="32"/>
      <c r="B94" s="32"/>
      <c r="C94" s="32"/>
      <c r="D94" s="32"/>
      <c r="E94" s="32"/>
    </row>
    <row r="95" spans="1:5">
      <c r="A95" s="32"/>
      <c r="B95" s="32"/>
      <c r="C95" s="32"/>
      <c r="D95" s="32"/>
      <c r="E95" s="32"/>
    </row>
    <row r="96" spans="1:5">
      <c r="A96" s="32"/>
      <c r="B96" s="32"/>
      <c r="C96" s="32"/>
      <c r="D96" s="32"/>
      <c r="E96" s="32"/>
    </row>
    <row r="97" spans="1:5">
      <c r="A97" s="32"/>
      <c r="B97" s="32"/>
      <c r="C97" s="32"/>
      <c r="D97" s="32"/>
      <c r="E97" s="32"/>
    </row>
    <row r="98" spans="1:5">
      <c r="A98" s="32"/>
      <c r="B98" s="32"/>
      <c r="C98" s="32"/>
      <c r="D98" s="32"/>
      <c r="E98" s="32"/>
    </row>
    <row r="99" spans="1:5">
      <c r="A99" s="32"/>
      <c r="B99" s="32"/>
      <c r="C99" s="32"/>
      <c r="D99" s="32"/>
      <c r="E99" s="32"/>
    </row>
    <row r="100" spans="1:5">
      <c r="A100" s="32"/>
      <c r="B100" s="32"/>
      <c r="C100" s="32"/>
      <c r="D100" s="32"/>
      <c r="E100" s="32"/>
    </row>
    <row r="101" spans="1:5">
      <c r="A101" s="32"/>
      <c r="B101" s="32"/>
      <c r="C101" s="32"/>
      <c r="D101" s="32"/>
      <c r="E101" s="32"/>
    </row>
    <row r="102" spans="1:5">
      <c r="A102" s="32"/>
      <c r="B102" s="32"/>
      <c r="C102" s="32"/>
      <c r="D102" s="32"/>
      <c r="E102" s="32"/>
    </row>
    <row r="103" spans="1:5">
      <c r="A103" s="32"/>
      <c r="B103" s="32"/>
      <c r="C103" s="32"/>
      <c r="D103" s="32"/>
      <c r="E103" s="32"/>
    </row>
    <row r="104" spans="1:5">
      <c r="A104" s="32"/>
      <c r="B104" s="32"/>
      <c r="C104" s="32"/>
      <c r="D104" s="32"/>
      <c r="E104" s="32"/>
    </row>
    <row r="105" spans="1:5">
      <c r="A105" s="32"/>
      <c r="B105" s="32"/>
      <c r="C105" s="32"/>
      <c r="D105" s="32"/>
      <c r="E105" s="32"/>
    </row>
    <row r="106" spans="1:5">
      <c r="A106" s="32"/>
      <c r="B106" s="32"/>
      <c r="C106" s="32"/>
      <c r="D106" s="32"/>
      <c r="E106" s="32"/>
    </row>
    <row r="107" spans="1:5">
      <c r="A107" s="32"/>
      <c r="B107" s="32"/>
      <c r="C107" s="32"/>
      <c r="D107" s="32"/>
      <c r="E107" s="32"/>
    </row>
    <row r="108" spans="1:5">
      <c r="A108" s="32"/>
      <c r="B108" s="32"/>
      <c r="C108" s="32"/>
      <c r="D108" s="32"/>
      <c r="E108" s="32"/>
    </row>
    <row r="109" spans="1:5">
      <c r="A109" s="32"/>
      <c r="B109" s="32"/>
      <c r="C109" s="32"/>
      <c r="D109" s="32"/>
      <c r="E109" s="32"/>
    </row>
    <row r="110" spans="1:5">
      <c r="A110" s="32"/>
      <c r="B110" s="32"/>
      <c r="C110" s="32"/>
      <c r="D110" s="32"/>
      <c r="E110" s="32"/>
    </row>
    <row r="111" spans="1:5">
      <c r="A111" s="32"/>
      <c r="B111" s="32"/>
      <c r="C111" s="32"/>
      <c r="D111" s="32"/>
      <c r="E111" s="32"/>
    </row>
    <row r="112" spans="1:5">
      <c r="A112" s="32"/>
      <c r="B112" s="32"/>
      <c r="C112" s="32"/>
      <c r="D112" s="32"/>
      <c r="E112" s="32"/>
    </row>
    <row r="113" spans="1:5">
      <c r="A113" s="32"/>
      <c r="B113" s="32"/>
      <c r="C113" s="32"/>
      <c r="D113" s="32"/>
      <c r="E113" s="32"/>
    </row>
    <row r="114" spans="1:5">
      <c r="A114" s="32"/>
      <c r="B114" s="32"/>
      <c r="C114" s="32"/>
      <c r="D114" s="32"/>
      <c r="E114" s="32"/>
    </row>
    <row r="115" spans="1:5">
      <c r="A115" s="32"/>
      <c r="B115" s="32"/>
      <c r="C115" s="32"/>
      <c r="D115" s="32"/>
      <c r="E115" s="32"/>
    </row>
    <row r="116" spans="1:5">
      <c r="A116" s="32"/>
      <c r="B116" s="32"/>
      <c r="C116" s="32"/>
      <c r="D116" s="32"/>
      <c r="E116" s="32"/>
    </row>
    <row r="117" spans="1:5">
      <c r="A117" s="32"/>
      <c r="B117" s="32"/>
      <c r="C117" s="32"/>
      <c r="D117" s="32"/>
      <c r="E117" s="32"/>
    </row>
    <row r="118" spans="1:5">
      <c r="A118" s="32"/>
      <c r="B118" s="32"/>
      <c r="C118" s="32"/>
      <c r="D118" s="32"/>
      <c r="E118" s="32"/>
    </row>
    <row r="119" spans="1:5">
      <c r="A119" s="32"/>
      <c r="B119" s="32"/>
      <c r="C119" s="32"/>
      <c r="D119" s="32"/>
      <c r="E119" s="32"/>
    </row>
    <row r="120" spans="1:5">
      <c r="A120" s="32"/>
      <c r="B120" s="32"/>
      <c r="C120" s="32"/>
      <c r="D120" s="32"/>
      <c r="E120" s="32"/>
    </row>
    <row r="121" spans="1:5">
      <c r="A121" s="32"/>
      <c r="B121" s="32"/>
      <c r="C121" s="32"/>
      <c r="D121" s="32"/>
      <c r="E121" s="32"/>
    </row>
    <row r="122" spans="1:5">
      <c r="A122" s="32"/>
      <c r="B122" s="32"/>
      <c r="C122" s="32"/>
      <c r="D122" s="32"/>
      <c r="E122" s="32"/>
    </row>
    <row r="123" spans="1:5">
      <c r="A123" s="32"/>
      <c r="B123" s="32"/>
      <c r="C123" s="32"/>
      <c r="D123" s="32"/>
      <c r="E123" s="32"/>
    </row>
    <row r="124" spans="1:5">
      <c r="A124" s="32"/>
      <c r="B124" s="32"/>
      <c r="C124" s="32"/>
      <c r="D124" s="32"/>
      <c r="E124" s="32"/>
    </row>
    <row r="125" spans="1:5">
      <c r="A125" s="32"/>
      <c r="B125" s="32"/>
      <c r="C125" s="32"/>
      <c r="D125" s="32"/>
      <c r="E125" s="32"/>
    </row>
    <row r="126" spans="1:5">
      <c r="A126" s="32"/>
      <c r="B126" s="32"/>
      <c r="C126" s="32"/>
      <c r="D126" s="32"/>
      <c r="E126" s="32"/>
    </row>
    <row r="127" spans="1:5">
      <c r="A127" s="32"/>
      <c r="B127" s="32"/>
      <c r="C127" s="32"/>
      <c r="D127" s="32"/>
      <c r="E127" s="32"/>
    </row>
    <row r="128" spans="1:5">
      <c r="A128" s="32"/>
      <c r="B128" s="32"/>
      <c r="C128" s="32"/>
      <c r="D128" s="32"/>
      <c r="E128" s="32"/>
    </row>
    <row r="129" spans="1:5">
      <c r="A129" s="32"/>
      <c r="B129" s="32"/>
      <c r="C129" s="32"/>
      <c r="D129" s="32"/>
      <c r="E129" s="32"/>
    </row>
    <row r="130" spans="1:5">
      <c r="A130" s="32"/>
      <c r="B130" s="32"/>
      <c r="C130" s="32"/>
      <c r="D130" s="32"/>
      <c r="E130" s="32"/>
    </row>
    <row r="131" spans="1:5">
      <c r="A131" s="32"/>
      <c r="B131" s="32"/>
      <c r="C131" s="32"/>
      <c r="D131" s="32"/>
      <c r="E131" s="32"/>
    </row>
    <row r="132" spans="1:5">
      <c r="A132" s="32"/>
      <c r="B132" s="32"/>
      <c r="C132" s="32"/>
      <c r="D132" s="32"/>
      <c r="E132" s="32"/>
    </row>
    <row r="133" spans="1:5">
      <c r="A133" s="32"/>
      <c r="B133" s="32"/>
      <c r="C133" s="32"/>
      <c r="D133" s="32"/>
      <c r="E133" s="32"/>
    </row>
    <row r="134" spans="1:5">
      <c r="A134" s="32"/>
      <c r="B134" s="32"/>
      <c r="C134" s="32"/>
      <c r="D134" s="32"/>
      <c r="E134" s="32"/>
    </row>
    <row r="135" spans="1:5">
      <c r="A135" s="32"/>
      <c r="B135" s="32"/>
      <c r="C135" s="32"/>
      <c r="D135" s="32"/>
      <c r="E135" s="32"/>
    </row>
    <row r="136" spans="1:5">
      <c r="A136" s="32"/>
      <c r="B136" s="32"/>
      <c r="C136" s="32"/>
      <c r="D136" s="32"/>
      <c r="E136" s="32"/>
    </row>
    <row r="137" spans="1:5">
      <c r="A137" s="32"/>
      <c r="B137" s="32"/>
      <c r="C137" s="32"/>
      <c r="D137" s="32"/>
      <c r="E137" s="32"/>
    </row>
    <row r="138" spans="1:5">
      <c r="A138" s="32"/>
      <c r="B138" s="32"/>
      <c r="C138" s="32"/>
      <c r="D138" s="32"/>
      <c r="E138" s="32"/>
    </row>
    <row r="139" spans="1:5">
      <c r="A139" s="32"/>
      <c r="B139" s="32"/>
      <c r="C139" s="32"/>
      <c r="D139" s="32"/>
      <c r="E139" s="32"/>
    </row>
    <row r="140" spans="1:5">
      <c r="A140" s="32"/>
      <c r="B140" s="32"/>
      <c r="C140" s="32"/>
      <c r="D140" s="32"/>
      <c r="E140" s="32"/>
    </row>
    <row r="141" spans="1:5">
      <c r="A141" s="32"/>
      <c r="B141" s="32"/>
      <c r="C141" s="32"/>
      <c r="D141" s="32"/>
      <c r="E141" s="32"/>
    </row>
    <row r="142" spans="1:5">
      <c r="A142" s="32"/>
      <c r="B142" s="32"/>
      <c r="C142" s="32"/>
      <c r="D142" s="32"/>
      <c r="E142" s="32"/>
    </row>
    <row r="143" spans="1:5">
      <c r="A143" s="32"/>
      <c r="B143" s="32"/>
      <c r="C143" s="32"/>
      <c r="D143" s="32"/>
      <c r="E143" s="32"/>
    </row>
    <row r="144" spans="1:5">
      <c r="A144" s="32"/>
      <c r="B144" s="32"/>
      <c r="C144" s="32"/>
      <c r="D144" s="32"/>
      <c r="E144" s="32"/>
    </row>
    <row r="145" spans="1:5">
      <c r="A145" s="32"/>
      <c r="B145" s="32"/>
      <c r="C145" s="32"/>
      <c r="D145" s="32"/>
      <c r="E145" s="32"/>
    </row>
    <row r="146" spans="1:5">
      <c r="A146" s="32"/>
      <c r="B146" s="32"/>
      <c r="C146" s="32"/>
      <c r="D146" s="32"/>
      <c r="E146" s="32"/>
    </row>
    <row r="147" spans="1:5">
      <c r="A147" s="32"/>
      <c r="B147" s="32"/>
      <c r="C147" s="32"/>
      <c r="D147" s="32"/>
      <c r="E147" s="32"/>
    </row>
    <row r="148" spans="1:5">
      <c r="A148" s="32"/>
      <c r="B148" s="32"/>
      <c r="C148" s="32"/>
      <c r="D148" s="32"/>
      <c r="E148" s="32"/>
    </row>
    <row r="149" spans="1:5">
      <c r="A149" s="32"/>
      <c r="B149" s="32"/>
      <c r="C149" s="32"/>
      <c r="D149" s="32"/>
      <c r="E149" s="32"/>
    </row>
    <row r="150" spans="1:5">
      <c r="A150" s="32"/>
      <c r="B150" s="32"/>
      <c r="C150" s="32"/>
      <c r="D150" s="32"/>
      <c r="E150" s="32"/>
    </row>
    <row r="151" spans="1:5">
      <c r="A151" s="32"/>
      <c r="B151" s="32"/>
      <c r="C151" s="32"/>
      <c r="D151" s="32"/>
      <c r="E151" s="32"/>
    </row>
    <row r="152" spans="1:5">
      <c r="A152" s="32"/>
      <c r="B152" s="32"/>
      <c r="C152" s="32"/>
      <c r="D152" s="32"/>
      <c r="E152" s="32"/>
    </row>
    <row r="153" spans="1:5">
      <c r="A153" s="32"/>
      <c r="B153" s="32"/>
      <c r="C153" s="32"/>
      <c r="D153" s="32"/>
      <c r="E153" s="32"/>
    </row>
    <row r="154" spans="1:5">
      <c r="A154" s="32"/>
      <c r="B154" s="32"/>
      <c r="C154" s="32"/>
      <c r="D154" s="32"/>
      <c r="E154" s="32"/>
    </row>
    <row r="155" spans="1:5">
      <c r="A155" s="32"/>
      <c r="B155" s="32"/>
      <c r="C155" s="32"/>
      <c r="D155" s="32"/>
      <c r="E155" s="32"/>
    </row>
    <row r="156" spans="1:5">
      <c r="A156" s="32"/>
      <c r="B156" s="32"/>
      <c r="C156" s="32"/>
      <c r="D156" s="32"/>
      <c r="E156" s="32"/>
    </row>
    <row r="157" spans="1:5">
      <c r="A157" s="32"/>
      <c r="B157" s="32"/>
      <c r="C157" s="32"/>
      <c r="D157" s="32"/>
      <c r="E157" s="32"/>
    </row>
    <row r="158" spans="1:5">
      <c r="A158" s="32"/>
      <c r="B158" s="32"/>
      <c r="C158" s="32"/>
      <c r="D158" s="32"/>
      <c r="E158" s="32"/>
    </row>
    <row r="159" spans="1:5">
      <c r="A159" s="32"/>
      <c r="B159" s="32"/>
      <c r="C159" s="32"/>
      <c r="D159" s="32"/>
      <c r="E159" s="32"/>
    </row>
    <row r="160" spans="1:5">
      <c r="A160" s="32"/>
      <c r="B160" s="32"/>
      <c r="C160" s="32"/>
      <c r="D160" s="32"/>
      <c r="E160" s="32"/>
    </row>
    <row r="161" spans="1:5">
      <c r="A161" s="32"/>
      <c r="B161" s="32"/>
      <c r="C161" s="32"/>
      <c r="D161" s="32"/>
      <c r="E161" s="32"/>
    </row>
    <row r="162" spans="1:5">
      <c r="A162" s="32"/>
      <c r="B162" s="32"/>
      <c r="C162" s="32"/>
      <c r="D162" s="32"/>
      <c r="E162" s="32"/>
    </row>
    <row r="163" spans="1:5">
      <c r="A163" s="32"/>
      <c r="B163" s="32"/>
      <c r="C163" s="32"/>
      <c r="D163" s="32"/>
      <c r="E163" s="32"/>
    </row>
    <row r="164" spans="1:5">
      <c r="A164" s="32"/>
      <c r="B164" s="32"/>
      <c r="C164" s="32"/>
      <c r="D164" s="32"/>
      <c r="E164" s="32"/>
    </row>
    <row r="165" spans="1:5">
      <c r="A165" s="32"/>
      <c r="B165" s="32"/>
      <c r="C165" s="32"/>
      <c r="D165" s="32"/>
      <c r="E165" s="32"/>
    </row>
    <row r="166" spans="1:5">
      <c r="A166" s="32"/>
      <c r="B166" s="32"/>
      <c r="C166" s="32"/>
      <c r="D166" s="32"/>
      <c r="E166" s="32"/>
    </row>
    <row r="167" spans="1:5">
      <c r="A167" s="32"/>
      <c r="B167" s="32"/>
      <c r="C167" s="32"/>
      <c r="D167" s="32"/>
      <c r="E167" s="32"/>
    </row>
    <row r="168" spans="1:5">
      <c r="A168" s="32"/>
      <c r="B168" s="32"/>
      <c r="C168" s="32"/>
      <c r="D168" s="32"/>
      <c r="E168" s="32"/>
    </row>
    <row r="169" spans="1:5">
      <c r="A169" s="32"/>
      <c r="B169" s="32"/>
      <c r="C169" s="32"/>
      <c r="D169" s="32"/>
      <c r="E169" s="32"/>
    </row>
    <row r="170" spans="1:5">
      <c r="A170" s="32"/>
      <c r="B170" s="32"/>
      <c r="C170" s="32"/>
      <c r="D170" s="32"/>
      <c r="E170" s="32"/>
    </row>
    <row r="171" spans="1:5">
      <c r="A171" s="32"/>
      <c r="B171" s="32"/>
      <c r="C171" s="32"/>
      <c r="D171" s="32"/>
      <c r="E171" s="32"/>
    </row>
    <row r="172" spans="1:5">
      <c r="A172" s="32"/>
      <c r="B172" s="32"/>
      <c r="C172" s="32"/>
      <c r="D172" s="32"/>
      <c r="E172" s="32"/>
    </row>
    <row r="173" spans="1:5">
      <c r="A173" s="32"/>
      <c r="B173" s="32"/>
      <c r="C173" s="32"/>
      <c r="D173" s="32"/>
      <c r="E173" s="32"/>
    </row>
    <row r="174" spans="1:5">
      <c r="A174" s="32"/>
      <c r="B174" s="32"/>
      <c r="C174" s="32"/>
      <c r="D174" s="32"/>
      <c r="E174" s="32"/>
    </row>
    <row r="175" spans="1:5">
      <c r="A175" s="32"/>
      <c r="B175" s="32"/>
      <c r="C175" s="32"/>
      <c r="D175" s="32"/>
      <c r="E175" s="32"/>
    </row>
    <row r="176" spans="1:5">
      <c r="A176" s="32"/>
      <c r="B176" s="32"/>
      <c r="C176" s="32"/>
      <c r="D176" s="32"/>
      <c r="E176" s="32"/>
    </row>
    <row r="177" spans="1:5">
      <c r="A177" s="32"/>
      <c r="B177" s="32"/>
      <c r="C177" s="32"/>
      <c r="D177" s="32"/>
      <c r="E177" s="32"/>
    </row>
    <row r="178" spans="1:5">
      <c r="A178" s="32"/>
      <c r="B178" s="32"/>
      <c r="C178" s="32"/>
      <c r="D178" s="32"/>
      <c r="E178" s="32"/>
    </row>
    <row r="179" spans="1:5">
      <c r="A179" s="32"/>
      <c r="B179" s="32"/>
      <c r="C179" s="32"/>
      <c r="D179" s="32"/>
      <c r="E179" s="32"/>
    </row>
    <row r="180" spans="1:5">
      <c r="A180" s="32"/>
      <c r="B180" s="32"/>
      <c r="C180" s="32"/>
      <c r="D180" s="32"/>
      <c r="E180" s="32"/>
    </row>
    <row r="181" spans="1:5">
      <c r="A181" s="32"/>
      <c r="B181" s="32"/>
      <c r="C181" s="32"/>
      <c r="D181" s="32"/>
      <c r="E181" s="32"/>
    </row>
    <row r="182" spans="1:5">
      <c r="A182" s="32"/>
      <c r="B182" s="32"/>
      <c r="C182" s="32"/>
      <c r="D182" s="32"/>
      <c r="E182" s="32"/>
    </row>
    <row r="183" spans="1:5">
      <c r="A183" s="32"/>
      <c r="B183" s="32"/>
      <c r="C183" s="32"/>
      <c r="D183" s="32"/>
      <c r="E183" s="32"/>
    </row>
    <row r="184" spans="1:5">
      <c r="A184" s="32"/>
      <c r="B184" s="32"/>
      <c r="C184" s="32"/>
      <c r="D184" s="32"/>
      <c r="E184" s="32"/>
    </row>
    <row r="185" spans="1:5">
      <c r="A185" s="32"/>
      <c r="B185" s="32"/>
      <c r="C185" s="32"/>
      <c r="D185" s="32"/>
      <c r="E185" s="32"/>
    </row>
    <row r="186" spans="1:5">
      <c r="A186" s="32"/>
      <c r="B186" s="32"/>
      <c r="C186" s="32"/>
      <c r="D186" s="32"/>
      <c r="E186" s="32"/>
    </row>
    <row r="187" spans="1:5">
      <c r="A187" s="32"/>
      <c r="B187" s="32"/>
      <c r="C187" s="32"/>
      <c r="D187" s="32"/>
      <c r="E187" s="32"/>
    </row>
    <row r="188" spans="1:5">
      <c r="A188" s="32"/>
      <c r="B188" s="32"/>
      <c r="C188" s="32"/>
      <c r="D188" s="32"/>
      <c r="E188" s="32"/>
    </row>
    <row r="189" spans="1:5">
      <c r="A189" s="32"/>
      <c r="B189" s="32"/>
      <c r="C189" s="32"/>
      <c r="D189" s="32"/>
      <c r="E189" s="32"/>
    </row>
    <row r="190" spans="1:5">
      <c r="A190" s="32"/>
      <c r="B190" s="32"/>
      <c r="C190" s="32"/>
      <c r="D190" s="32"/>
      <c r="E190" s="32"/>
    </row>
    <row r="191" spans="1:5">
      <c r="A191" s="32"/>
      <c r="B191" s="32"/>
      <c r="C191" s="32"/>
      <c r="D191" s="32"/>
      <c r="E191" s="32"/>
    </row>
    <row r="192" spans="1:5">
      <c r="A192" s="32"/>
      <c r="B192" s="32"/>
      <c r="C192" s="32"/>
      <c r="D192" s="32"/>
      <c r="E192" s="32"/>
    </row>
    <row r="193" spans="1:5">
      <c r="A193" s="32"/>
      <c r="B193" s="32"/>
      <c r="C193" s="32"/>
      <c r="D193" s="32"/>
      <c r="E193" s="32"/>
    </row>
    <row r="194" spans="1:5">
      <c r="A194" s="32"/>
      <c r="B194" s="32"/>
      <c r="C194" s="32"/>
      <c r="D194" s="32"/>
      <c r="E194" s="32"/>
    </row>
    <row r="195" spans="1:5">
      <c r="A195" s="32"/>
      <c r="B195" s="32"/>
      <c r="C195" s="32"/>
      <c r="D195" s="32"/>
      <c r="E195" s="32"/>
    </row>
    <row r="196" spans="1:5">
      <c r="A196" s="32"/>
      <c r="B196" s="32"/>
      <c r="C196" s="32"/>
      <c r="D196" s="32"/>
      <c r="E196" s="32"/>
    </row>
    <row r="197" spans="1:5">
      <c r="A197" s="32"/>
      <c r="B197" s="32"/>
      <c r="C197" s="32"/>
      <c r="D197" s="32"/>
      <c r="E197" s="32"/>
    </row>
    <row r="198" spans="1:5">
      <c r="A198" s="32"/>
      <c r="B198" s="32"/>
      <c r="C198" s="32"/>
      <c r="D198" s="32"/>
      <c r="E198" s="32"/>
    </row>
    <row r="199" spans="1:5">
      <c r="A199" s="32"/>
      <c r="B199" s="32"/>
      <c r="C199" s="32"/>
      <c r="D199" s="32"/>
      <c r="E199" s="32"/>
    </row>
    <row r="200" spans="1:5">
      <c r="A200" s="32"/>
      <c r="B200" s="32"/>
      <c r="C200" s="32"/>
      <c r="D200" s="32"/>
      <c r="E200" s="32"/>
    </row>
    <row r="201" spans="1:5">
      <c r="A201" s="32"/>
      <c r="B201" s="32"/>
      <c r="C201" s="32"/>
      <c r="D201" s="32"/>
      <c r="E201" s="32"/>
    </row>
    <row r="202" spans="1:5">
      <c r="A202" s="32"/>
      <c r="B202" s="32"/>
      <c r="C202" s="32"/>
      <c r="D202" s="32"/>
      <c r="E202" s="32"/>
    </row>
    <row r="203" spans="1:5">
      <c r="A203" s="32"/>
      <c r="B203" s="32"/>
      <c r="C203" s="32"/>
      <c r="D203" s="32"/>
      <c r="E203" s="32"/>
    </row>
    <row r="204" spans="1:5">
      <c r="A204" s="32"/>
      <c r="B204" s="32"/>
      <c r="C204" s="32"/>
      <c r="D204" s="32"/>
      <c r="E204" s="32"/>
    </row>
    <row r="205" spans="1:5">
      <c r="A205" s="32"/>
      <c r="B205" s="32"/>
      <c r="C205" s="32"/>
      <c r="D205" s="32"/>
      <c r="E205" s="32"/>
    </row>
    <row r="206" spans="1:5">
      <c r="A206" s="32"/>
      <c r="B206" s="32"/>
      <c r="C206" s="32"/>
      <c r="D206" s="32"/>
      <c r="E206" s="32"/>
    </row>
    <row r="207" spans="1:5">
      <c r="A207" s="32"/>
      <c r="B207" s="32"/>
      <c r="C207" s="32"/>
      <c r="D207" s="32"/>
      <c r="E207" s="32"/>
    </row>
    <row r="208" spans="1:5">
      <c r="A208" s="32"/>
      <c r="B208" s="32"/>
      <c r="C208" s="32"/>
      <c r="D208" s="32"/>
      <c r="E208" s="32"/>
    </row>
    <row r="209" spans="1:5">
      <c r="A209" s="32"/>
      <c r="B209" s="32"/>
      <c r="C209" s="32"/>
      <c r="D209" s="32"/>
      <c r="E209" s="32"/>
    </row>
    <row r="210" spans="1:5">
      <c r="A210" s="32"/>
      <c r="B210" s="32"/>
      <c r="C210" s="32"/>
      <c r="D210" s="32"/>
      <c r="E210" s="32"/>
    </row>
    <row r="211" spans="1:5">
      <c r="A211" s="32"/>
      <c r="B211" s="32"/>
      <c r="C211" s="32"/>
      <c r="D211" s="32"/>
      <c r="E211" s="32"/>
    </row>
    <row r="212" spans="1:5">
      <c r="A212" s="32"/>
      <c r="B212" s="32"/>
      <c r="C212" s="32"/>
      <c r="D212" s="32"/>
      <c r="E212" s="32"/>
    </row>
    <row r="213" spans="1:5">
      <c r="A213" s="32"/>
      <c r="B213" s="32"/>
      <c r="C213" s="32"/>
      <c r="D213" s="32"/>
      <c r="E213" s="32"/>
    </row>
    <row r="214" spans="1:5">
      <c r="A214" s="32"/>
      <c r="B214" s="32"/>
      <c r="C214" s="32"/>
      <c r="D214" s="32"/>
      <c r="E214" s="32"/>
    </row>
    <row r="215" spans="1:5">
      <c r="A215" s="32"/>
      <c r="B215" s="32"/>
      <c r="C215" s="32"/>
      <c r="D215" s="32"/>
      <c r="E215" s="32"/>
    </row>
    <row r="216" spans="1:5">
      <c r="A216" s="32"/>
      <c r="B216" s="32"/>
      <c r="C216" s="32"/>
      <c r="D216" s="32"/>
      <c r="E216" s="32"/>
    </row>
    <row r="217" spans="1:5">
      <c r="A217" s="32"/>
      <c r="B217" s="32"/>
      <c r="C217" s="32"/>
      <c r="D217" s="32"/>
      <c r="E217" s="32"/>
    </row>
    <row r="218" spans="1:5">
      <c r="A218" s="32"/>
      <c r="B218" s="32"/>
      <c r="C218" s="32"/>
      <c r="D218" s="32"/>
      <c r="E218" s="32"/>
    </row>
    <row r="219" spans="1:5">
      <c r="A219" s="32"/>
      <c r="B219" s="32"/>
      <c r="C219" s="32"/>
      <c r="D219" s="32"/>
      <c r="E219" s="32"/>
    </row>
    <row r="220" spans="1:5">
      <c r="A220" s="32"/>
      <c r="B220" s="32"/>
      <c r="C220" s="32"/>
      <c r="D220" s="32"/>
      <c r="E220" s="32"/>
    </row>
    <row r="221" spans="1:5">
      <c r="A221" s="32"/>
      <c r="B221" s="32"/>
      <c r="C221" s="32"/>
      <c r="D221" s="32"/>
      <c r="E221" s="32"/>
    </row>
    <row r="222" spans="1:5">
      <c r="A222" s="32"/>
      <c r="B222" s="32"/>
      <c r="C222" s="32"/>
      <c r="D222" s="32"/>
      <c r="E222" s="32"/>
    </row>
    <row r="223" spans="1:5">
      <c r="A223" s="32"/>
      <c r="B223" s="32"/>
      <c r="C223" s="32"/>
      <c r="D223" s="32"/>
      <c r="E223" s="32"/>
    </row>
    <row r="224" spans="1:5">
      <c r="A224" s="32"/>
      <c r="B224" s="32"/>
      <c r="C224" s="32"/>
      <c r="D224" s="32"/>
      <c r="E224" s="32"/>
    </row>
    <row r="225" spans="1:5">
      <c r="A225" s="32"/>
      <c r="B225" s="32"/>
      <c r="C225" s="32"/>
      <c r="D225" s="32"/>
      <c r="E225" s="32"/>
    </row>
    <row r="226" spans="1:5">
      <c r="A226" s="32"/>
      <c r="B226" s="32"/>
      <c r="C226" s="32"/>
      <c r="D226" s="32"/>
      <c r="E226" s="32"/>
    </row>
    <row r="227" spans="1:5">
      <c r="A227" s="32"/>
      <c r="B227" s="32"/>
      <c r="C227" s="32"/>
      <c r="D227" s="32"/>
      <c r="E227" s="32"/>
    </row>
    <row r="228" spans="1:5">
      <c r="A228" s="32"/>
      <c r="B228" s="32"/>
      <c r="C228" s="32"/>
      <c r="D228" s="32"/>
      <c r="E228" s="32"/>
    </row>
    <row r="229" spans="1:5">
      <c r="A229" s="32"/>
      <c r="B229" s="32"/>
      <c r="C229" s="32"/>
      <c r="D229" s="32"/>
      <c r="E229" s="32"/>
    </row>
    <row r="230" spans="1:5">
      <c r="A230" s="32"/>
      <c r="B230" s="32"/>
      <c r="C230" s="32"/>
      <c r="D230" s="32"/>
      <c r="E230" s="32"/>
    </row>
    <row r="231" spans="1:5">
      <c r="A231" s="32"/>
      <c r="B231" s="32"/>
      <c r="C231" s="32"/>
      <c r="D231" s="32"/>
      <c r="E231" s="32"/>
    </row>
    <row r="232" spans="1:5">
      <c r="A232" s="32"/>
      <c r="B232" s="32"/>
      <c r="C232" s="32"/>
      <c r="D232" s="32"/>
      <c r="E232" s="32"/>
    </row>
    <row r="233" spans="1:5">
      <c r="A233" s="32"/>
      <c r="B233" s="32"/>
      <c r="C233" s="32"/>
      <c r="D233" s="32"/>
      <c r="E233" s="32"/>
    </row>
    <row r="234" spans="1:5">
      <c r="A234" s="32"/>
      <c r="B234" s="32"/>
      <c r="C234" s="32"/>
      <c r="D234" s="32"/>
      <c r="E234" s="32"/>
    </row>
    <row r="235" spans="1:5">
      <c r="A235" s="32"/>
      <c r="B235" s="32"/>
      <c r="C235" s="32"/>
      <c r="D235" s="32"/>
      <c r="E235" s="32"/>
    </row>
    <row r="236" spans="1:5">
      <c r="A236" s="32"/>
      <c r="B236" s="32"/>
      <c r="C236" s="32"/>
      <c r="D236" s="32"/>
      <c r="E236" s="32"/>
    </row>
    <row r="237" spans="1:5">
      <c r="A237" s="32"/>
      <c r="B237" s="32"/>
      <c r="C237" s="32"/>
      <c r="D237" s="32"/>
      <c r="E237" s="32"/>
    </row>
    <row r="238" spans="1:5">
      <c r="A238" s="32"/>
      <c r="B238" s="32"/>
      <c r="C238" s="32"/>
      <c r="D238" s="32"/>
      <c r="E238" s="32"/>
    </row>
    <row r="239" spans="1:5">
      <c r="A239" s="32"/>
      <c r="B239" s="32"/>
      <c r="C239" s="32"/>
      <c r="D239" s="32"/>
      <c r="E239" s="32"/>
    </row>
    <row r="240" spans="1:5">
      <c r="A240" s="32"/>
      <c r="B240" s="32"/>
      <c r="C240" s="32"/>
      <c r="D240" s="32"/>
      <c r="E240" s="32"/>
    </row>
    <row r="241" spans="1:5">
      <c r="A241" s="32"/>
      <c r="B241" s="32"/>
      <c r="C241" s="32"/>
      <c r="D241" s="32"/>
      <c r="E241" s="32"/>
    </row>
    <row r="242" spans="1:5">
      <c r="A242" s="32"/>
      <c r="B242" s="32"/>
      <c r="C242" s="32"/>
      <c r="D242" s="32"/>
      <c r="E242" s="32"/>
    </row>
    <row r="243" spans="1:5">
      <c r="A243" s="32"/>
      <c r="B243" s="32"/>
      <c r="C243" s="32"/>
      <c r="D243" s="32"/>
      <c r="E243" s="32"/>
    </row>
    <row r="244" spans="1:5">
      <c r="A244" s="32"/>
      <c r="B244" s="32"/>
      <c r="C244" s="32"/>
      <c r="D244" s="32"/>
      <c r="E244" s="32"/>
    </row>
    <row r="245" spans="1:5">
      <c r="A245" s="32"/>
      <c r="B245" s="32"/>
      <c r="C245" s="32"/>
      <c r="D245" s="32"/>
      <c r="E245" s="32"/>
    </row>
    <row r="246" spans="1:5">
      <c r="A246" s="32"/>
      <c r="B246" s="32"/>
      <c r="C246" s="32"/>
      <c r="D246" s="32"/>
      <c r="E246" s="32"/>
    </row>
    <row r="247" spans="1:5">
      <c r="A247" s="32"/>
      <c r="B247" s="32"/>
      <c r="C247" s="32"/>
      <c r="D247" s="32"/>
      <c r="E247" s="32"/>
    </row>
    <row r="248" spans="1:5">
      <c r="A248" s="32"/>
      <c r="B248" s="32"/>
      <c r="C248" s="32"/>
      <c r="D248" s="32"/>
      <c r="E248" s="32"/>
    </row>
    <row r="249" spans="1:5">
      <c r="A249" s="32"/>
      <c r="B249" s="32"/>
      <c r="C249" s="32"/>
      <c r="D249" s="32"/>
      <c r="E249" s="32"/>
    </row>
    <row r="250" spans="1:5">
      <c r="A250" s="32"/>
      <c r="B250" s="32"/>
      <c r="C250" s="32"/>
      <c r="D250" s="32"/>
      <c r="E250" s="32"/>
    </row>
    <row r="251" spans="1:5">
      <c r="A251" s="32"/>
      <c r="B251" s="32"/>
      <c r="C251" s="32"/>
      <c r="D251" s="32"/>
      <c r="E251" s="32"/>
    </row>
    <row r="252" spans="1:5">
      <c r="A252" s="32"/>
      <c r="B252" s="32"/>
      <c r="C252" s="32"/>
      <c r="D252" s="32"/>
      <c r="E252" s="32"/>
    </row>
    <row r="253" spans="1:5">
      <c r="A253" s="32"/>
      <c r="B253" s="32"/>
      <c r="C253" s="32"/>
      <c r="D253" s="32"/>
      <c r="E253" s="32"/>
    </row>
    <row r="254" spans="1:5">
      <c r="A254" s="32"/>
      <c r="B254" s="32"/>
      <c r="C254" s="32"/>
      <c r="D254" s="32"/>
      <c r="E254" s="32"/>
    </row>
    <row r="255" spans="1:5">
      <c r="A255" s="32"/>
      <c r="B255" s="32"/>
      <c r="C255" s="32"/>
      <c r="D255" s="32"/>
      <c r="E255" s="32"/>
    </row>
    <row r="256" spans="1:5">
      <c r="A256" s="32"/>
      <c r="B256" s="32"/>
      <c r="C256" s="32"/>
      <c r="D256" s="32"/>
      <c r="E256" s="32"/>
    </row>
    <row r="257" spans="1:5">
      <c r="A257" s="32"/>
      <c r="B257" s="32"/>
      <c r="C257" s="32"/>
      <c r="D257" s="32"/>
      <c r="E257" s="32"/>
    </row>
    <row r="258" spans="1:5">
      <c r="A258" s="32"/>
      <c r="B258" s="32"/>
      <c r="C258" s="32"/>
      <c r="D258" s="32"/>
      <c r="E258" s="32"/>
    </row>
    <row r="259" spans="1:5">
      <c r="A259" s="32"/>
      <c r="B259" s="32"/>
      <c r="C259" s="32"/>
      <c r="D259" s="32"/>
      <c r="E259" s="32"/>
    </row>
    <row r="260" spans="1:5">
      <c r="A260" s="32"/>
      <c r="B260" s="32"/>
      <c r="C260" s="32"/>
      <c r="D260" s="32"/>
      <c r="E260" s="32"/>
    </row>
    <row r="261" spans="1:5">
      <c r="A261" s="32"/>
      <c r="B261" s="32"/>
      <c r="C261" s="32"/>
      <c r="D261" s="32"/>
      <c r="E261" s="32"/>
    </row>
    <row r="262" spans="1:5">
      <c r="A262" s="32"/>
      <c r="B262" s="32"/>
      <c r="C262" s="32"/>
      <c r="D262" s="32"/>
      <c r="E262" s="32"/>
    </row>
    <row r="263" spans="1:5">
      <c r="A263" s="32"/>
      <c r="B263" s="32"/>
      <c r="C263" s="32"/>
      <c r="D263" s="32"/>
      <c r="E263" s="32"/>
    </row>
    <row r="264" spans="1:5">
      <c r="A264" s="32"/>
      <c r="B264" s="32"/>
      <c r="C264" s="32"/>
      <c r="D264" s="32"/>
      <c r="E264" s="32"/>
    </row>
    <row r="265" spans="1:5">
      <c r="A265" s="32"/>
      <c r="B265" s="32"/>
      <c r="C265" s="32"/>
      <c r="D265" s="32"/>
      <c r="E265" s="32"/>
    </row>
    <row r="266" spans="1:5">
      <c r="A266" s="32"/>
      <c r="B266" s="32"/>
      <c r="C266" s="32"/>
      <c r="D266" s="32"/>
      <c r="E266" s="32"/>
    </row>
    <row r="267" spans="1:5">
      <c r="A267" s="32"/>
      <c r="B267" s="32"/>
      <c r="C267" s="32"/>
      <c r="D267" s="32"/>
      <c r="E267" s="32"/>
    </row>
    <row r="268" spans="1:5">
      <c r="A268" s="32"/>
      <c r="B268" s="32"/>
      <c r="C268" s="32"/>
      <c r="D268" s="32"/>
      <c r="E268" s="32"/>
    </row>
    <row r="269" spans="1:5">
      <c r="A269" s="32"/>
      <c r="B269" s="32"/>
      <c r="C269" s="32"/>
      <c r="D269" s="32"/>
      <c r="E269" s="32"/>
    </row>
    <row r="270" spans="1:5">
      <c r="A270" s="32"/>
      <c r="B270" s="32"/>
      <c r="C270" s="32"/>
      <c r="D270" s="32"/>
      <c r="E270" s="32"/>
    </row>
    <row r="271" spans="1:5">
      <c r="A271" s="32"/>
      <c r="B271" s="32"/>
      <c r="C271" s="32"/>
      <c r="D271" s="32"/>
      <c r="E271" s="32"/>
    </row>
    <row r="272" spans="1:5">
      <c r="A272" s="32"/>
      <c r="B272" s="32"/>
      <c r="C272" s="32"/>
      <c r="D272" s="32"/>
      <c r="E272" s="32"/>
    </row>
    <row r="273" spans="1:5">
      <c r="A273" s="32"/>
      <c r="B273" s="32"/>
      <c r="C273" s="32"/>
      <c r="D273" s="32"/>
      <c r="E273" s="32"/>
    </row>
    <row r="274" spans="1:5">
      <c r="A274" s="32"/>
      <c r="B274" s="32"/>
      <c r="C274" s="32"/>
      <c r="D274" s="32"/>
      <c r="E274" s="32"/>
    </row>
    <row r="275" spans="1:5">
      <c r="A275" s="32"/>
      <c r="B275" s="32"/>
      <c r="C275" s="32"/>
      <c r="D275" s="32"/>
      <c r="E275" s="32"/>
    </row>
    <row r="276" spans="1:5">
      <c r="A276" s="32"/>
      <c r="B276" s="32"/>
      <c r="C276" s="32"/>
      <c r="D276" s="32"/>
      <c r="E276" s="32"/>
    </row>
    <row r="277" spans="1:5">
      <c r="A277" s="32"/>
      <c r="B277" s="32"/>
      <c r="C277" s="32"/>
      <c r="D277" s="32"/>
      <c r="E277" s="32"/>
    </row>
    <row r="278" spans="1:5">
      <c r="A278" s="32"/>
      <c r="B278" s="32"/>
      <c r="C278" s="32"/>
      <c r="D278" s="32"/>
      <c r="E278" s="32"/>
    </row>
    <row r="279" spans="1:5">
      <c r="A279" s="32"/>
      <c r="B279" s="32"/>
      <c r="C279" s="32"/>
      <c r="D279" s="32"/>
      <c r="E279" s="32"/>
    </row>
    <row r="280" spans="1:5">
      <c r="A280" s="32"/>
      <c r="B280" s="32"/>
      <c r="C280" s="32"/>
      <c r="D280" s="32"/>
      <c r="E280" s="32"/>
    </row>
    <row r="281" spans="1:5">
      <c r="A281" s="32"/>
      <c r="B281" s="32"/>
      <c r="C281" s="32"/>
      <c r="D281" s="32"/>
      <c r="E281" s="32"/>
    </row>
    <row r="282" spans="1:5">
      <c r="A282" s="32"/>
      <c r="B282" s="32"/>
      <c r="C282" s="32"/>
      <c r="D282" s="32"/>
      <c r="E282" s="32"/>
    </row>
    <row r="283" spans="1:5">
      <c r="A283" s="32"/>
      <c r="B283" s="32"/>
      <c r="C283" s="32"/>
      <c r="D283" s="32"/>
      <c r="E283" s="32"/>
    </row>
    <row r="284" spans="1:5">
      <c r="A284" s="32"/>
      <c r="B284" s="32"/>
      <c r="C284" s="32"/>
      <c r="D284" s="32"/>
      <c r="E284" s="32"/>
    </row>
    <row r="285" spans="1:5">
      <c r="A285" s="32"/>
      <c r="B285" s="32"/>
      <c r="C285" s="32"/>
      <c r="D285" s="32"/>
      <c r="E285" s="32"/>
    </row>
    <row r="286" spans="1:5">
      <c r="A286" s="32"/>
      <c r="B286" s="32"/>
      <c r="C286" s="32"/>
      <c r="D286" s="32"/>
      <c r="E286" s="32"/>
    </row>
    <row r="287" spans="1:5">
      <c r="A287" s="32"/>
      <c r="B287" s="32"/>
      <c r="C287" s="32"/>
      <c r="D287" s="32"/>
      <c r="E287" s="32"/>
    </row>
    <row r="288" spans="1:5">
      <c r="A288" s="32"/>
      <c r="B288" s="32"/>
      <c r="C288" s="32"/>
      <c r="D288" s="32"/>
      <c r="E288" s="32"/>
    </row>
    <row r="289" spans="1:5">
      <c r="A289" s="32"/>
      <c r="B289" s="32"/>
      <c r="C289" s="32"/>
      <c r="D289" s="32"/>
      <c r="E289" s="32"/>
    </row>
    <row r="290" spans="1:5">
      <c r="A290" s="32"/>
      <c r="B290" s="32"/>
      <c r="C290" s="32"/>
      <c r="D290" s="32"/>
      <c r="E290" s="32"/>
    </row>
    <row r="291" spans="1:5">
      <c r="A291" s="32"/>
      <c r="B291" s="32"/>
      <c r="C291" s="32"/>
      <c r="D291" s="32"/>
      <c r="E291" s="32"/>
    </row>
    <row r="292" spans="1:5">
      <c r="A292" s="32"/>
      <c r="B292" s="32"/>
      <c r="C292" s="32"/>
      <c r="D292" s="32"/>
      <c r="E292" s="32"/>
    </row>
    <row r="293" spans="1:5">
      <c r="A293" s="32"/>
      <c r="B293" s="32"/>
      <c r="C293" s="32"/>
      <c r="D293" s="32"/>
      <c r="E293" s="32"/>
    </row>
    <row r="294" spans="1:5">
      <c r="A294" s="32"/>
      <c r="B294" s="32"/>
      <c r="C294" s="32"/>
      <c r="D294" s="32"/>
      <c r="E294" s="32"/>
    </row>
    <row r="295" spans="1:5">
      <c r="A295" s="32"/>
      <c r="B295" s="32"/>
      <c r="C295" s="32"/>
      <c r="D295" s="32"/>
      <c r="E295" s="32"/>
    </row>
    <row r="296" spans="1:5">
      <c r="A296" s="32"/>
      <c r="B296" s="32"/>
      <c r="C296" s="32"/>
      <c r="D296" s="32"/>
      <c r="E296" s="32"/>
    </row>
    <row r="297" spans="1:5">
      <c r="A297" s="32"/>
      <c r="B297" s="32"/>
      <c r="C297" s="32"/>
      <c r="D297" s="32"/>
      <c r="E297" s="32"/>
    </row>
    <row r="298" spans="1:5">
      <c r="A298" s="32"/>
      <c r="B298" s="32"/>
      <c r="C298" s="32"/>
      <c r="D298" s="32"/>
      <c r="E298" s="32"/>
    </row>
    <row r="299" spans="1:5">
      <c r="A299" s="32"/>
      <c r="B299" s="32"/>
      <c r="C299" s="32"/>
      <c r="D299" s="32"/>
      <c r="E299" s="32"/>
    </row>
    <row r="300" spans="1:5">
      <c r="A300" s="32"/>
      <c r="B300" s="32"/>
      <c r="C300" s="32"/>
      <c r="D300" s="32"/>
      <c r="E300" s="32"/>
    </row>
    <row r="301" spans="1:5">
      <c r="A301" s="32"/>
      <c r="B301" s="32"/>
      <c r="C301" s="32"/>
      <c r="D301" s="32"/>
      <c r="E301" s="32"/>
    </row>
    <row r="302" spans="1:5">
      <c r="A302" s="32"/>
      <c r="B302" s="32"/>
      <c r="C302" s="32"/>
      <c r="D302" s="32"/>
      <c r="E302" s="32"/>
    </row>
    <row r="303" spans="1:5">
      <c r="A303" s="32"/>
      <c r="B303" s="32"/>
      <c r="C303" s="32"/>
      <c r="D303" s="32"/>
      <c r="E303" s="32"/>
    </row>
    <row r="304" spans="1:5">
      <c r="A304" s="32"/>
      <c r="B304" s="32"/>
      <c r="C304" s="32"/>
      <c r="D304" s="32"/>
      <c r="E304" s="32"/>
    </row>
    <row r="305" spans="1:5">
      <c r="A305" s="32"/>
      <c r="B305" s="32"/>
      <c r="C305" s="32"/>
      <c r="D305" s="32"/>
      <c r="E305" s="32"/>
    </row>
    <row r="306" spans="1:5">
      <c r="A306" s="32"/>
      <c r="B306" s="32"/>
      <c r="C306" s="32"/>
      <c r="D306" s="32"/>
      <c r="E306" s="32"/>
    </row>
    <row r="307" spans="1:5">
      <c r="A307" s="32"/>
      <c r="B307" s="32"/>
      <c r="C307" s="32"/>
      <c r="D307" s="32"/>
      <c r="E307" s="32"/>
    </row>
    <row r="308" spans="1:5">
      <c r="A308" s="32"/>
      <c r="B308" s="32"/>
      <c r="C308" s="32"/>
      <c r="D308" s="32"/>
      <c r="E308" s="32"/>
    </row>
    <row r="309" spans="1:5">
      <c r="A309" s="32"/>
      <c r="B309" s="32"/>
      <c r="C309" s="32"/>
      <c r="D309" s="32"/>
      <c r="E309" s="32"/>
    </row>
    <row r="310" spans="1:5">
      <c r="A310" s="32"/>
      <c r="B310" s="32"/>
      <c r="C310" s="32"/>
      <c r="D310" s="32"/>
      <c r="E310" s="32"/>
    </row>
    <row r="311" spans="1:5">
      <c r="A311" s="32"/>
      <c r="B311" s="32"/>
      <c r="C311" s="32"/>
      <c r="D311" s="32"/>
      <c r="E311" s="32"/>
    </row>
    <row r="312" spans="1:5">
      <c r="A312" s="32"/>
      <c r="B312" s="32"/>
      <c r="C312" s="32"/>
      <c r="D312" s="32"/>
      <c r="E312" s="32"/>
    </row>
    <row r="313" spans="1:5">
      <c r="A313" s="32"/>
      <c r="B313" s="32"/>
      <c r="C313" s="32"/>
      <c r="D313" s="32"/>
      <c r="E313" s="32"/>
    </row>
    <row r="314" spans="1:5">
      <c r="A314" s="32"/>
      <c r="B314" s="32"/>
      <c r="C314" s="32"/>
      <c r="D314" s="32"/>
      <c r="E314" s="32"/>
    </row>
    <row r="315" spans="1:5">
      <c r="A315" s="32"/>
      <c r="B315" s="32"/>
      <c r="C315" s="32"/>
      <c r="D315" s="32"/>
      <c r="E315" s="32"/>
    </row>
    <row r="316" spans="1:5">
      <c r="A316" s="32"/>
      <c r="B316" s="32"/>
      <c r="C316" s="32"/>
      <c r="D316" s="32"/>
      <c r="E316" s="32"/>
    </row>
    <row r="317" spans="1:5">
      <c r="A317" s="32"/>
      <c r="B317" s="32"/>
      <c r="C317" s="32"/>
      <c r="D317" s="32"/>
      <c r="E317" s="32"/>
    </row>
    <row r="318" spans="1:5">
      <c r="A318" s="32"/>
      <c r="B318" s="32"/>
      <c r="C318" s="32"/>
      <c r="D318" s="32"/>
      <c r="E318" s="32"/>
    </row>
    <row r="319" spans="1:5">
      <c r="A319" s="32"/>
      <c r="B319" s="32"/>
      <c r="C319" s="32"/>
      <c r="D319" s="32"/>
      <c r="E319" s="32"/>
    </row>
    <row r="320" spans="1:5">
      <c r="A320" s="32"/>
      <c r="B320" s="32"/>
      <c r="C320" s="32"/>
      <c r="D320" s="32"/>
      <c r="E320" s="32"/>
    </row>
    <row r="321" spans="1:5">
      <c r="A321" s="32"/>
      <c r="B321" s="32"/>
      <c r="C321" s="32"/>
      <c r="D321" s="32"/>
      <c r="E321" s="32"/>
    </row>
    <row r="322" spans="1:5">
      <c r="A322" s="32"/>
      <c r="B322" s="32"/>
      <c r="C322" s="32"/>
      <c r="D322" s="32"/>
      <c r="E322" s="32"/>
    </row>
    <row r="323" spans="1:5">
      <c r="A323" s="32"/>
      <c r="B323" s="32"/>
      <c r="C323" s="32"/>
      <c r="D323" s="32"/>
      <c r="E323" s="32"/>
    </row>
    <row r="324" spans="1:5">
      <c r="A324" s="32"/>
      <c r="B324" s="32"/>
      <c r="C324" s="32"/>
      <c r="D324" s="32"/>
      <c r="E324" s="32"/>
    </row>
    <row r="325" spans="1:5">
      <c r="A325" s="32"/>
      <c r="B325" s="32"/>
      <c r="C325" s="32"/>
      <c r="D325" s="32"/>
      <c r="E325" s="32"/>
    </row>
    <row r="326" spans="1:5">
      <c r="A326" s="32"/>
      <c r="B326" s="32"/>
      <c r="C326" s="32"/>
      <c r="D326" s="32"/>
      <c r="E326" s="32"/>
    </row>
    <row r="327" spans="1:5">
      <c r="A327" s="32"/>
      <c r="B327" s="32"/>
      <c r="C327" s="32"/>
      <c r="D327" s="32"/>
      <c r="E327" s="32"/>
    </row>
    <row r="328" spans="1:5">
      <c r="A328" s="32"/>
      <c r="B328" s="32"/>
      <c r="C328" s="32"/>
      <c r="D328" s="32"/>
      <c r="E328" s="32"/>
    </row>
    <row r="329" spans="1:5">
      <c r="A329" s="32"/>
      <c r="B329" s="32"/>
      <c r="C329" s="32"/>
      <c r="D329" s="32"/>
      <c r="E329" s="32"/>
    </row>
    <row r="330" spans="1:5">
      <c r="A330" s="32"/>
      <c r="B330" s="32"/>
      <c r="C330" s="32"/>
      <c r="D330" s="32"/>
      <c r="E330" s="32"/>
    </row>
    <row r="331" spans="1:5">
      <c r="A331" s="32"/>
      <c r="B331" s="32"/>
      <c r="C331" s="32"/>
      <c r="D331" s="32"/>
      <c r="E331" s="32"/>
    </row>
    <row r="332" spans="1:5">
      <c r="A332" s="32"/>
      <c r="B332" s="32"/>
      <c r="C332" s="32"/>
      <c r="D332" s="32"/>
      <c r="E332" s="32"/>
    </row>
    <row r="333" spans="1:5">
      <c r="A333" s="32"/>
      <c r="B333" s="32"/>
      <c r="C333" s="32"/>
      <c r="D333" s="32"/>
      <c r="E333" s="32"/>
    </row>
    <row r="334" spans="1:5">
      <c r="A334" s="32"/>
      <c r="B334" s="32"/>
      <c r="C334" s="32"/>
      <c r="D334" s="32"/>
      <c r="E334" s="32"/>
    </row>
    <row r="335" spans="1:5">
      <c r="A335" s="32"/>
      <c r="B335" s="32"/>
      <c r="C335" s="32"/>
      <c r="D335" s="32"/>
      <c r="E335" s="32"/>
    </row>
    <row r="336" spans="1:5">
      <c r="A336" s="32"/>
      <c r="B336" s="32"/>
      <c r="C336" s="32"/>
      <c r="D336" s="32"/>
      <c r="E336" s="32"/>
    </row>
    <row r="337" spans="1:5">
      <c r="A337" s="32"/>
      <c r="B337" s="32"/>
      <c r="C337" s="32"/>
      <c r="D337" s="32"/>
      <c r="E337" s="32"/>
    </row>
    <row r="338" spans="1:5">
      <c r="A338" s="32"/>
      <c r="B338" s="32"/>
      <c r="C338" s="32"/>
      <c r="D338" s="32"/>
      <c r="E338" s="32"/>
    </row>
    <row r="339" spans="1:5">
      <c r="A339" s="32"/>
      <c r="B339" s="32"/>
      <c r="C339" s="32"/>
      <c r="D339" s="32"/>
      <c r="E339" s="32"/>
    </row>
    <row r="340" spans="1:5">
      <c r="A340" s="32"/>
      <c r="B340" s="32"/>
      <c r="C340" s="32"/>
      <c r="D340" s="32"/>
      <c r="E340" s="32"/>
    </row>
    <row r="341" spans="1:5">
      <c r="A341" s="32"/>
      <c r="B341" s="32"/>
      <c r="C341" s="32"/>
      <c r="D341" s="32"/>
      <c r="E341" s="32"/>
    </row>
    <row r="342" spans="1:5">
      <c r="A342" s="32"/>
      <c r="B342" s="32"/>
      <c r="C342" s="32"/>
      <c r="D342" s="32"/>
      <c r="E342" s="32"/>
    </row>
    <row r="343" spans="1:5">
      <c r="A343" s="32"/>
      <c r="B343" s="32"/>
      <c r="C343" s="32"/>
      <c r="D343" s="32"/>
      <c r="E343" s="32"/>
    </row>
    <row r="344" spans="1:5">
      <c r="A344" s="32"/>
      <c r="B344" s="32"/>
      <c r="C344" s="32"/>
      <c r="D344" s="32"/>
      <c r="E344" s="32"/>
    </row>
    <row r="345" spans="1:5">
      <c r="A345" s="32"/>
      <c r="B345" s="32"/>
      <c r="C345" s="32"/>
      <c r="D345" s="32"/>
      <c r="E345" s="32"/>
    </row>
    <row r="346" spans="1:5">
      <c r="A346" s="32"/>
      <c r="B346" s="32"/>
      <c r="C346" s="32"/>
      <c r="D346" s="32"/>
      <c r="E346" s="32"/>
    </row>
    <row r="347" spans="1:5">
      <c r="A347" s="32"/>
      <c r="B347" s="32"/>
      <c r="C347" s="32"/>
      <c r="D347" s="32"/>
      <c r="E347" s="32"/>
    </row>
    <row r="348" spans="1:5">
      <c r="A348" s="32"/>
      <c r="B348" s="32"/>
      <c r="C348" s="32"/>
      <c r="D348" s="32"/>
      <c r="E348" s="32"/>
    </row>
    <row r="349" spans="1:5">
      <c r="A349" s="32"/>
      <c r="B349" s="32"/>
      <c r="C349" s="32"/>
      <c r="D349" s="32"/>
      <c r="E349" s="32"/>
    </row>
    <row r="350" spans="1:5">
      <c r="A350" s="32"/>
      <c r="B350" s="32"/>
      <c r="C350" s="32"/>
      <c r="D350" s="32"/>
      <c r="E350" s="32"/>
    </row>
    <row r="351" spans="1:5">
      <c r="A351" s="32"/>
      <c r="B351" s="32"/>
      <c r="C351" s="32"/>
      <c r="D351" s="32"/>
      <c r="E351" s="32"/>
    </row>
    <row r="352" spans="1:5">
      <c r="A352" s="32"/>
      <c r="B352" s="32"/>
      <c r="C352" s="32"/>
      <c r="D352" s="32"/>
      <c r="E352" s="32"/>
    </row>
    <row r="353" spans="1:5">
      <c r="A353" s="32"/>
      <c r="B353" s="32"/>
      <c r="C353" s="32"/>
      <c r="D353" s="32"/>
      <c r="E353" s="32"/>
    </row>
    <row r="354" spans="1:5">
      <c r="A354" s="32"/>
      <c r="B354" s="32"/>
      <c r="C354" s="32"/>
      <c r="D354" s="32"/>
      <c r="E354" s="32"/>
    </row>
    <row r="355" spans="1:5">
      <c r="A355" s="32"/>
      <c r="B355" s="32"/>
      <c r="C355" s="32"/>
      <c r="D355" s="32"/>
      <c r="E355" s="32"/>
    </row>
    <row r="356" spans="1:5">
      <c r="A356" s="32"/>
      <c r="B356" s="32"/>
      <c r="C356" s="32"/>
      <c r="D356" s="32"/>
      <c r="E356" s="32"/>
    </row>
    <row r="357" spans="1:5">
      <c r="A357" s="32"/>
      <c r="B357" s="32"/>
      <c r="C357" s="32"/>
      <c r="D357" s="32"/>
      <c r="E357" s="32"/>
    </row>
    <row r="358" spans="1:5">
      <c r="A358" s="32"/>
      <c r="B358" s="32"/>
      <c r="C358" s="32"/>
      <c r="D358" s="32"/>
      <c r="E358" s="32"/>
    </row>
    <row r="359" spans="1:5">
      <c r="A359" s="32"/>
      <c r="B359" s="32"/>
      <c r="C359" s="32"/>
      <c r="D359" s="32"/>
      <c r="E359" s="32"/>
    </row>
    <row r="360" spans="1:5">
      <c r="A360" s="32"/>
      <c r="B360" s="32"/>
      <c r="C360" s="32"/>
      <c r="D360" s="32"/>
      <c r="E360" s="32"/>
    </row>
    <row r="361" spans="1:5">
      <c r="A361" s="32"/>
      <c r="B361" s="32"/>
      <c r="C361" s="32"/>
      <c r="D361" s="32"/>
      <c r="E361" s="32"/>
    </row>
    <row r="362" spans="1:5">
      <c r="A362" s="32"/>
      <c r="B362" s="32"/>
      <c r="C362" s="32"/>
      <c r="D362" s="32"/>
      <c r="E362" s="32"/>
    </row>
    <row r="363" spans="1:5">
      <c r="A363" s="32"/>
      <c r="B363" s="32"/>
      <c r="C363" s="32"/>
      <c r="D363" s="32"/>
      <c r="E363" s="32"/>
    </row>
    <row r="364" spans="1:5">
      <c r="A364" s="32"/>
      <c r="B364" s="32"/>
      <c r="C364" s="32"/>
      <c r="D364" s="32"/>
      <c r="E364" s="32"/>
    </row>
    <row r="365" spans="1:5">
      <c r="A365" s="32"/>
      <c r="B365" s="32"/>
      <c r="C365" s="32"/>
      <c r="D365" s="32"/>
      <c r="E365" s="32"/>
    </row>
    <row r="366" spans="1:5">
      <c r="A366" s="32"/>
      <c r="B366" s="32"/>
      <c r="C366" s="32"/>
      <c r="D366" s="32"/>
      <c r="E366" s="32"/>
    </row>
    <row r="367" spans="1:5">
      <c r="A367" s="32"/>
      <c r="B367" s="32"/>
      <c r="C367" s="32"/>
      <c r="D367" s="32"/>
      <c r="E367" s="32"/>
    </row>
    <row r="368" spans="1:5">
      <c r="A368" s="32"/>
      <c r="B368" s="32"/>
      <c r="C368" s="32"/>
      <c r="D368" s="32"/>
      <c r="E368" s="32"/>
    </row>
    <row r="369" spans="1:5">
      <c r="A369" s="32"/>
      <c r="B369" s="32"/>
      <c r="C369" s="32"/>
      <c r="D369" s="32"/>
      <c r="E369" s="32"/>
    </row>
    <row r="370" spans="1:5">
      <c r="A370" s="32"/>
      <c r="B370" s="32"/>
      <c r="C370" s="32"/>
      <c r="D370" s="32"/>
      <c r="E370" s="32"/>
    </row>
    <row r="371" spans="1:5">
      <c r="A371" s="32"/>
      <c r="B371" s="32"/>
      <c r="C371" s="32"/>
      <c r="D371" s="32"/>
      <c r="E371" s="32"/>
    </row>
    <row r="372" spans="1:5">
      <c r="A372" s="32"/>
      <c r="B372" s="32"/>
      <c r="C372" s="32"/>
      <c r="D372" s="32"/>
      <c r="E372" s="32"/>
    </row>
    <row r="373" spans="1:5">
      <c r="A373" s="32"/>
      <c r="B373" s="32"/>
      <c r="C373" s="32"/>
      <c r="D373" s="32"/>
      <c r="E373" s="32"/>
    </row>
    <row r="374" spans="1:5">
      <c r="A374" s="32"/>
      <c r="B374" s="32"/>
      <c r="C374" s="32"/>
      <c r="D374" s="32"/>
      <c r="E374" s="32"/>
    </row>
    <row r="375" spans="1:5">
      <c r="A375" s="32"/>
      <c r="B375" s="32"/>
      <c r="C375" s="32"/>
      <c r="D375" s="32"/>
      <c r="E375" s="32"/>
    </row>
    <row r="376" spans="1:5">
      <c r="A376" s="32"/>
      <c r="B376" s="32"/>
      <c r="C376" s="32"/>
      <c r="D376" s="32"/>
      <c r="E376" s="32"/>
    </row>
    <row r="377" spans="1:5">
      <c r="A377" s="32"/>
      <c r="B377" s="32"/>
      <c r="C377" s="32"/>
      <c r="D377" s="32"/>
      <c r="E377" s="32"/>
    </row>
    <row r="378" spans="1:5">
      <c r="A378" s="32"/>
      <c r="B378" s="32"/>
      <c r="C378" s="32"/>
      <c r="D378" s="32"/>
      <c r="E378" s="32"/>
    </row>
    <row r="379" spans="1:5">
      <c r="A379" s="32"/>
      <c r="B379" s="32"/>
      <c r="C379" s="32"/>
      <c r="D379" s="32"/>
      <c r="E379" s="32"/>
    </row>
    <row r="380" spans="1:5">
      <c r="A380" s="32"/>
      <c r="B380" s="32"/>
      <c r="C380" s="32"/>
      <c r="D380" s="32"/>
      <c r="E380" s="32"/>
    </row>
    <row r="381" spans="1:5">
      <c r="A381" s="32"/>
      <c r="B381" s="32"/>
      <c r="C381" s="32"/>
      <c r="D381" s="32"/>
      <c r="E381" s="32"/>
    </row>
    <row r="382" spans="1:5">
      <c r="A382" s="32"/>
      <c r="B382" s="32"/>
      <c r="C382" s="32"/>
      <c r="D382" s="32"/>
      <c r="E382" s="32"/>
    </row>
    <row r="383" spans="1:5">
      <c r="A383" s="32"/>
      <c r="B383" s="32"/>
      <c r="C383" s="32"/>
      <c r="D383" s="32"/>
      <c r="E383" s="32"/>
    </row>
    <row r="384" spans="1:5">
      <c r="A384" s="32"/>
      <c r="B384" s="32"/>
      <c r="C384" s="32"/>
      <c r="D384" s="32"/>
      <c r="E384" s="32"/>
    </row>
    <row r="385" spans="1:5">
      <c r="A385" s="32"/>
      <c r="B385" s="32"/>
      <c r="C385" s="32"/>
      <c r="D385" s="32"/>
      <c r="E385" s="32"/>
    </row>
    <row r="386" spans="1:5">
      <c r="A386" s="32"/>
      <c r="B386" s="32"/>
      <c r="C386" s="32"/>
      <c r="D386" s="32"/>
      <c r="E386" s="32"/>
    </row>
    <row r="387" spans="1:5">
      <c r="A387" s="32"/>
      <c r="B387" s="32"/>
      <c r="C387" s="32"/>
      <c r="D387" s="32"/>
      <c r="E387" s="32"/>
    </row>
    <row r="388" spans="1:5">
      <c r="A388" s="32"/>
      <c r="B388" s="32"/>
      <c r="C388" s="32"/>
      <c r="D388" s="32"/>
      <c r="E388" s="32"/>
    </row>
    <row r="389" spans="1:5">
      <c r="A389" s="32"/>
      <c r="B389" s="32"/>
      <c r="C389" s="32"/>
      <c r="D389" s="32"/>
      <c r="E389" s="32"/>
    </row>
    <row r="390" spans="1:5">
      <c r="A390" s="32"/>
      <c r="B390" s="32"/>
      <c r="C390" s="32"/>
      <c r="D390" s="32"/>
      <c r="E390" s="32"/>
    </row>
    <row r="391" spans="1:5">
      <c r="A391" s="32"/>
      <c r="B391" s="32"/>
      <c r="C391" s="32"/>
      <c r="D391" s="32"/>
      <c r="E391" s="32"/>
    </row>
    <row r="392" spans="1:5">
      <c r="A392" s="32"/>
      <c r="B392" s="32"/>
      <c r="C392" s="32"/>
      <c r="D392" s="32"/>
      <c r="E392" s="32"/>
    </row>
    <row r="393" spans="1:5">
      <c r="A393" s="32"/>
      <c r="B393" s="32"/>
      <c r="C393" s="32"/>
      <c r="D393" s="32"/>
      <c r="E393" s="32"/>
    </row>
    <row r="394" spans="1:5">
      <c r="A394" s="32"/>
      <c r="B394" s="32"/>
      <c r="C394" s="32"/>
      <c r="D394" s="32"/>
      <c r="E394" s="32"/>
    </row>
    <row r="395" spans="1:5">
      <c r="A395" s="32"/>
      <c r="B395" s="32"/>
      <c r="C395" s="32"/>
      <c r="D395" s="32"/>
      <c r="E395" s="32"/>
    </row>
    <row r="396" spans="1:5">
      <c r="A396" s="32"/>
      <c r="B396" s="32"/>
      <c r="C396" s="32"/>
      <c r="D396" s="32"/>
      <c r="E396" s="32"/>
    </row>
    <row r="397" spans="1:5">
      <c r="A397" s="32"/>
      <c r="B397" s="32"/>
      <c r="C397" s="32"/>
      <c r="D397" s="32"/>
      <c r="E397" s="32"/>
    </row>
    <row r="398" spans="1:5">
      <c r="A398" s="32"/>
      <c r="B398" s="32"/>
      <c r="C398" s="32"/>
      <c r="D398" s="32"/>
      <c r="E398" s="32"/>
    </row>
    <row r="399" spans="1:5">
      <c r="A399" s="32"/>
      <c r="B399" s="32"/>
      <c r="C399" s="32"/>
      <c r="D399" s="32"/>
      <c r="E399" s="32"/>
    </row>
    <row r="400" spans="1:5">
      <c r="A400" s="32"/>
      <c r="B400" s="32"/>
      <c r="C400" s="32"/>
      <c r="D400" s="32"/>
      <c r="E400" s="32"/>
    </row>
    <row r="401" spans="1:5">
      <c r="A401" s="32"/>
      <c r="B401" s="32"/>
      <c r="C401" s="32"/>
      <c r="D401" s="32"/>
      <c r="E401" s="32"/>
    </row>
    <row r="402" spans="1:5">
      <c r="A402" s="32"/>
      <c r="B402" s="32"/>
      <c r="C402" s="32"/>
      <c r="D402" s="32"/>
      <c r="E402" s="32"/>
    </row>
    <row r="403" spans="1:5">
      <c r="A403" s="32"/>
      <c r="B403" s="32"/>
      <c r="C403" s="32"/>
      <c r="D403" s="32"/>
      <c r="E403" s="32"/>
    </row>
    <row r="404" spans="1:5">
      <c r="A404" s="32"/>
      <c r="B404" s="32"/>
      <c r="C404" s="32"/>
      <c r="D404" s="32"/>
      <c r="E404" s="32"/>
    </row>
    <row r="405" spans="1:5">
      <c r="A405" s="32"/>
      <c r="B405" s="32"/>
      <c r="C405" s="32"/>
      <c r="D405" s="32"/>
      <c r="E405" s="32"/>
    </row>
    <row r="406" spans="1:5">
      <c r="A406" s="32"/>
      <c r="B406" s="32"/>
      <c r="C406" s="32"/>
      <c r="D406" s="32"/>
      <c r="E406" s="32"/>
    </row>
    <row r="407" spans="1:5">
      <c r="A407" s="32"/>
      <c r="B407" s="32"/>
      <c r="C407" s="32"/>
      <c r="D407" s="32"/>
      <c r="E407" s="32"/>
    </row>
    <row r="408" spans="1:5">
      <c r="A408" s="32"/>
      <c r="B408" s="32"/>
      <c r="C408" s="32"/>
      <c r="D408" s="32"/>
      <c r="E408" s="32"/>
    </row>
    <row r="409" spans="1:5">
      <c r="A409" s="32"/>
      <c r="B409" s="32"/>
      <c r="C409" s="32"/>
      <c r="D409" s="32"/>
      <c r="E409" s="32"/>
    </row>
    <row r="410" spans="1:5">
      <c r="A410" s="32"/>
      <c r="B410" s="32"/>
      <c r="C410" s="32"/>
      <c r="D410" s="32"/>
      <c r="E410" s="32"/>
    </row>
    <row r="411" spans="1:5">
      <c r="A411" s="32"/>
      <c r="B411" s="32"/>
      <c r="C411" s="32"/>
      <c r="D411" s="32"/>
      <c r="E411" s="32"/>
    </row>
    <row r="412" spans="1:5">
      <c r="A412" s="32"/>
      <c r="B412" s="32"/>
      <c r="C412" s="32"/>
      <c r="D412" s="32"/>
      <c r="E412" s="32"/>
    </row>
    <row r="413" spans="1:5">
      <c r="A413" s="32"/>
      <c r="B413" s="32"/>
      <c r="C413" s="32"/>
      <c r="D413" s="32"/>
      <c r="E413" s="32"/>
    </row>
    <row r="414" spans="1:5">
      <c r="A414" s="32"/>
      <c r="B414" s="32"/>
      <c r="C414" s="32"/>
      <c r="D414" s="32"/>
      <c r="E414" s="32"/>
    </row>
    <row r="415" spans="1:5">
      <c r="A415" s="32"/>
      <c r="B415" s="32"/>
      <c r="C415" s="32"/>
      <c r="D415" s="32"/>
      <c r="E415" s="32"/>
    </row>
    <row r="416" spans="1:5">
      <c r="A416" s="32"/>
      <c r="B416" s="32"/>
      <c r="C416" s="32"/>
      <c r="D416" s="32"/>
      <c r="E416" s="32"/>
    </row>
    <row r="417" spans="1:5">
      <c r="A417" s="32"/>
      <c r="B417" s="32"/>
      <c r="C417" s="32"/>
      <c r="D417" s="32"/>
      <c r="E417" s="32"/>
    </row>
    <row r="418" spans="1:5">
      <c r="A418" s="32"/>
      <c r="B418" s="32"/>
      <c r="C418" s="32"/>
      <c r="D418" s="32"/>
      <c r="E418" s="32"/>
    </row>
    <row r="419" spans="1:5">
      <c r="A419" s="32"/>
      <c r="B419" s="32"/>
      <c r="C419" s="32"/>
      <c r="D419" s="32"/>
      <c r="E419" s="32"/>
    </row>
    <row r="420" spans="1:5">
      <c r="A420" s="32"/>
      <c r="B420" s="32"/>
      <c r="C420" s="32"/>
      <c r="D420" s="32"/>
      <c r="E420" s="32"/>
    </row>
    <row r="421" spans="1:5">
      <c r="A421" s="32"/>
      <c r="B421" s="32"/>
      <c r="C421" s="32"/>
      <c r="D421" s="32"/>
      <c r="E421" s="32"/>
    </row>
    <row r="422" spans="1:5">
      <c r="A422" s="32"/>
      <c r="B422" s="32"/>
      <c r="C422" s="32"/>
      <c r="D422" s="32"/>
      <c r="E422" s="32"/>
    </row>
    <row r="423" spans="1:5">
      <c r="A423" s="32"/>
      <c r="B423" s="32"/>
      <c r="C423" s="32"/>
      <c r="D423" s="32"/>
      <c r="E423" s="32"/>
    </row>
    <row r="424" spans="1:5">
      <c r="A424" s="32"/>
      <c r="B424" s="32"/>
      <c r="C424" s="32"/>
      <c r="D424" s="32"/>
      <c r="E424" s="32"/>
    </row>
    <row r="425" spans="1:5">
      <c r="A425" s="32"/>
      <c r="B425" s="32"/>
      <c r="C425" s="32"/>
      <c r="D425" s="32"/>
      <c r="E425" s="32"/>
    </row>
    <row r="426" spans="1:5">
      <c r="A426" s="32"/>
      <c r="B426" s="32"/>
      <c r="C426" s="32"/>
      <c r="D426" s="32"/>
      <c r="E426" s="32"/>
    </row>
    <row r="427" spans="1:5">
      <c r="A427" s="32"/>
      <c r="B427" s="32"/>
      <c r="C427" s="32"/>
      <c r="D427" s="32"/>
      <c r="E427" s="32"/>
    </row>
    <row r="428" spans="1:5">
      <c r="A428" s="32"/>
      <c r="B428" s="32"/>
      <c r="C428" s="32"/>
      <c r="D428" s="32"/>
      <c r="E428" s="32"/>
    </row>
    <row r="429" spans="1:5">
      <c r="A429" s="32"/>
      <c r="B429" s="32"/>
      <c r="C429" s="32"/>
      <c r="D429" s="32"/>
      <c r="E429" s="32"/>
    </row>
    <row r="430" spans="1:5">
      <c r="A430" s="32"/>
      <c r="B430" s="32"/>
      <c r="C430" s="32"/>
      <c r="D430" s="32"/>
      <c r="E430" s="32"/>
    </row>
    <row r="431" spans="1:5">
      <c r="A431" s="32"/>
      <c r="B431" s="32"/>
      <c r="C431" s="32"/>
      <c r="D431" s="32"/>
      <c r="E431" s="32"/>
    </row>
    <row r="432" spans="1:5">
      <c r="A432" s="32"/>
      <c r="B432" s="32"/>
      <c r="C432" s="32"/>
      <c r="D432" s="32"/>
      <c r="E432" s="32"/>
    </row>
    <row r="433" spans="1:5">
      <c r="A433" s="32"/>
      <c r="B433" s="32"/>
      <c r="C433" s="32"/>
      <c r="D433" s="32"/>
      <c r="E433" s="32"/>
    </row>
    <row r="434" spans="1:5">
      <c r="A434" s="32"/>
      <c r="B434" s="32"/>
      <c r="C434" s="32"/>
      <c r="D434" s="32"/>
      <c r="E434" s="32"/>
    </row>
    <row r="435" spans="1:5">
      <c r="A435" s="32"/>
      <c r="B435" s="32"/>
      <c r="C435" s="32"/>
      <c r="D435" s="32"/>
      <c r="E435" s="32"/>
    </row>
    <row r="436" spans="1:5">
      <c r="A436" s="32"/>
      <c r="B436" s="32"/>
      <c r="C436" s="32"/>
      <c r="D436" s="32"/>
      <c r="E436" s="32"/>
    </row>
    <row r="437" spans="1:5">
      <c r="A437" s="32"/>
      <c r="B437" s="32"/>
      <c r="C437" s="32"/>
      <c r="D437" s="32"/>
      <c r="E437" s="32"/>
    </row>
    <row r="438" spans="1:5">
      <c r="A438" s="32"/>
      <c r="B438" s="32"/>
      <c r="C438" s="32"/>
      <c r="D438" s="32"/>
      <c r="E438" s="32"/>
    </row>
    <row r="439" spans="1:5">
      <c r="A439" s="32"/>
      <c r="B439" s="32"/>
      <c r="C439" s="32"/>
      <c r="D439" s="32"/>
      <c r="E439" s="32"/>
    </row>
    <row r="440" spans="1:5">
      <c r="A440" s="32"/>
      <c r="B440" s="32"/>
      <c r="C440" s="32"/>
      <c r="D440" s="32"/>
      <c r="E440" s="32"/>
    </row>
    <row r="441" spans="1:5">
      <c r="A441" s="32"/>
      <c r="B441" s="32"/>
      <c r="C441" s="32"/>
      <c r="D441" s="32"/>
      <c r="E441" s="32"/>
    </row>
    <row r="442" spans="1:5">
      <c r="A442" s="32"/>
      <c r="B442" s="32"/>
      <c r="C442" s="32"/>
      <c r="D442" s="32"/>
      <c r="E442" s="32"/>
    </row>
    <row r="443" spans="1:5">
      <c r="A443" s="32"/>
      <c r="B443" s="32"/>
      <c r="C443" s="32"/>
      <c r="D443" s="32"/>
      <c r="E443" s="32"/>
    </row>
    <row r="444" spans="1:5">
      <c r="A444" s="32"/>
      <c r="B444" s="32"/>
      <c r="C444" s="32"/>
      <c r="D444" s="32"/>
      <c r="E444" s="32"/>
    </row>
    <row r="445" spans="1:5">
      <c r="A445" s="32"/>
      <c r="B445" s="32"/>
      <c r="C445" s="32"/>
      <c r="D445" s="32"/>
      <c r="E445" s="32"/>
    </row>
    <row r="446" spans="1:5">
      <c r="A446" s="32"/>
      <c r="B446" s="32"/>
      <c r="C446" s="32"/>
      <c r="D446" s="32"/>
      <c r="E446" s="32"/>
    </row>
    <row r="447" spans="1:5">
      <c r="A447" s="32"/>
      <c r="B447" s="32"/>
      <c r="C447" s="32"/>
      <c r="D447" s="32"/>
      <c r="E447" s="32"/>
    </row>
    <row r="448" spans="1:5">
      <c r="A448" s="32"/>
      <c r="B448" s="32"/>
      <c r="C448" s="32"/>
      <c r="D448" s="32"/>
      <c r="E448" s="32"/>
    </row>
    <row r="449" spans="1:5">
      <c r="A449" s="32"/>
      <c r="B449" s="32"/>
      <c r="C449" s="32"/>
      <c r="D449" s="32"/>
      <c r="E449" s="32"/>
    </row>
    <row r="450" spans="1:5">
      <c r="A450" s="32"/>
      <c r="B450" s="32"/>
      <c r="C450" s="32"/>
      <c r="D450" s="32"/>
      <c r="E450" s="32"/>
    </row>
    <row r="451" spans="1:5">
      <c r="A451" s="32"/>
      <c r="B451" s="32"/>
      <c r="C451" s="32"/>
      <c r="D451" s="32"/>
      <c r="E451" s="32"/>
    </row>
    <row r="452" spans="1:5">
      <c r="A452" s="32"/>
      <c r="B452" s="32"/>
      <c r="C452" s="32"/>
      <c r="D452" s="32"/>
      <c r="E452" s="32"/>
    </row>
    <row r="453" spans="1:5">
      <c r="A453" s="32"/>
      <c r="B453" s="32"/>
      <c r="C453" s="32"/>
      <c r="D453" s="32"/>
      <c r="E453" s="32"/>
    </row>
    <row r="454" spans="1:5">
      <c r="A454" s="32"/>
      <c r="B454" s="32"/>
      <c r="C454" s="32"/>
      <c r="D454" s="32"/>
      <c r="E454" s="32"/>
    </row>
    <row r="455" spans="1:5">
      <c r="A455" s="32"/>
      <c r="B455" s="32"/>
      <c r="C455" s="32"/>
      <c r="D455" s="32"/>
      <c r="E455" s="32"/>
    </row>
    <row r="456" spans="1:5">
      <c r="A456" s="32"/>
      <c r="B456" s="32"/>
      <c r="C456" s="32"/>
      <c r="D456" s="32"/>
      <c r="E456" s="32"/>
    </row>
    <row r="457" spans="1:5">
      <c r="A457" s="32"/>
      <c r="B457" s="32"/>
      <c r="C457" s="32"/>
      <c r="D457" s="32"/>
      <c r="E457" s="32"/>
    </row>
    <row r="458" spans="1:5">
      <c r="A458" s="32"/>
      <c r="B458" s="32"/>
      <c r="C458" s="32"/>
      <c r="D458" s="32"/>
      <c r="E458" s="32"/>
    </row>
    <row r="459" spans="1:5">
      <c r="A459" s="32"/>
      <c r="B459" s="32"/>
      <c r="C459" s="32"/>
      <c r="D459" s="32"/>
      <c r="E459" s="32"/>
    </row>
    <row r="460" spans="1:5">
      <c r="A460" s="32"/>
      <c r="B460" s="32"/>
      <c r="C460" s="32"/>
      <c r="D460" s="32"/>
      <c r="E460" s="32"/>
    </row>
    <row r="461" spans="1:5">
      <c r="A461" s="32"/>
      <c r="B461" s="32"/>
      <c r="C461" s="32"/>
      <c r="D461" s="32"/>
      <c r="E461" s="32"/>
    </row>
    <row r="462" spans="1:5">
      <c r="A462" s="32"/>
      <c r="B462" s="32"/>
      <c r="C462" s="32"/>
      <c r="D462" s="32"/>
      <c r="E462" s="32"/>
    </row>
    <row r="463" spans="1:5">
      <c r="A463" s="32"/>
      <c r="B463" s="32"/>
      <c r="C463" s="32"/>
      <c r="D463" s="32"/>
      <c r="E463" s="32"/>
    </row>
    <row r="464" spans="1:5">
      <c r="A464" s="32"/>
      <c r="B464" s="32"/>
      <c r="C464" s="32"/>
      <c r="D464" s="32"/>
      <c r="E464" s="32"/>
    </row>
    <row r="465" spans="1:5">
      <c r="A465" s="32"/>
      <c r="B465" s="32"/>
      <c r="C465" s="32"/>
      <c r="D465" s="32"/>
      <c r="E465" s="32"/>
    </row>
    <row r="466" spans="1:5">
      <c r="A466" s="32"/>
      <c r="B466" s="32"/>
      <c r="C466" s="32"/>
      <c r="D466" s="32"/>
      <c r="E466" s="32"/>
    </row>
    <row r="467" spans="1:5">
      <c r="A467" s="32"/>
      <c r="B467" s="32"/>
      <c r="C467" s="32"/>
      <c r="D467" s="32"/>
      <c r="E467" s="32"/>
    </row>
    <row r="468" spans="1:5">
      <c r="A468" s="32"/>
      <c r="B468" s="32"/>
      <c r="C468" s="32"/>
      <c r="D468" s="32"/>
      <c r="E468" s="32"/>
    </row>
    <row r="469" spans="1:5">
      <c r="A469" s="32"/>
      <c r="B469" s="32"/>
      <c r="C469" s="32"/>
      <c r="D469" s="32"/>
      <c r="E469" s="32"/>
    </row>
    <row r="470" spans="1:5">
      <c r="A470" s="32"/>
      <c r="B470" s="32"/>
      <c r="C470" s="32"/>
      <c r="D470" s="32"/>
      <c r="E470" s="32"/>
    </row>
    <row r="471" spans="1:5">
      <c r="A471" s="32"/>
      <c r="B471" s="32"/>
      <c r="C471" s="32"/>
      <c r="D471" s="32"/>
      <c r="E471" s="32"/>
    </row>
    <row r="472" spans="1:5">
      <c r="A472" s="32"/>
      <c r="B472" s="32"/>
      <c r="C472" s="32"/>
      <c r="D472" s="32"/>
      <c r="E472" s="32"/>
    </row>
    <row r="473" spans="1:5">
      <c r="A473" s="32"/>
      <c r="B473" s="32"/>
      <c r="C473" s="32"/>
      <c r="D473" s="32"/>
      <c r="E473" s="32"/>
    </row>
    <row r="474" spans="1:5">
      <c r="A474" s="32"/>
      <c r="B474" s="32"/>
      <c r="C474" s="32"/>
      <c r="D474" s="32"/>
      <c r="E474" s="32"/>
    </row>
    <row r="475" spans="1:5">
      <c r="A475" s="32"/>
      <c r="B475" s="32"/>
      <c r="C475" s="32"/>
      <c r="D475" s="32"/>
      <c r="E475" s="32"/>
    </row>
    <row r="476" spans="1:5">
      <c r="A476" s="32"/>
      <c r="B476" s="32"/>
      <c r="C476" s="32"/>
      <c r="D476" s="32"/>
      <c r="E476" s="32"/>
    </row>
    <row r="477" spans="1:5">
      <c r="A477" s="32"/>
      <c r="B477" s="32"/>
      <c r="C477" s="32"/>
      <c r="D477" s="32"/>
      <c r="E477" s="32"/>
    </row>
    <row r="478" spans="1:5">
      <c r="A478" s="32"/>
      <c r="B478" s="32"/>
      <c r="C478" s="32"/>
      <c r="D478" s="32"/>
      <c r="E478" s="32"/>
    </row>
    <row r="479" spans="1:5">
      <c r="A479" s="32"/>
      <c r="B479" s="32"/>
      <c r="C479" s="32"/>
      <c r="D479" s="32"/>
      <c r="E479" s="32"/>
    </row>
    <row r="480" spans="1:5">
      <c r="A480" s="32"/>
      <c r="B480" s="32"/>
      <c r="C480" s="32"/>
      <c r="D480" s="32"/>
      <c r="E480" s="32"/>
    </row>
    <row r="481" spans="1:5">
      <c r="A481" s="32"/>
      <c r="B481" s="32"/>
      <c r="C481" s="32"/>
      <c r="D481" s="32"/>
      <c r="E481" s="32"/>
    </row>
    <row r="482" spans="1:5">
      <c r="A482" s="32"/>
      <c r="B482" s="32"/>
      <c r="C482" s="32"/>
      <c r="D482" s="32"/>
      <c r="E482" s="32"/>
    </row>
    <row r="483" spans="1:5">
      <c r="A483" s="32"/>
      <c r="B483" s="32"/>
      <c r="C483" s="32"/>
      <c r="D483" s="32"/>
      <c r="E483" s="32"/>
    </row>
    <row r="484" spans="1:5">
      <c r="A484" s="32"/>
      <c r="B484" s="32"/>
      <c r="C484" s="32"/>
      <c r="D484" s="32"/>
      <c r="E484" s="32"/>
    </row>
    <row r="485" spans="1:5">
      <c r="A485" s="32"/>
      <c r="B485" s="32"/>
      <c r="C485" s="32"/>
      <c r="D485" s="32"/>
      <c r="E485" s="32"/>
    </row>
    <row r="486" spans="1:5">
      <c r="A486" s="32"/>
      <c r="B486" s="32"/>
      <c r="C486" s="32"/>
      <c r="D486" s="32"/>
      <c r="E486" s="32"/>
    </row>
    <row r="487" spans="1:5">
      <c r="A487" s="32"/>
      <c r="B487" s="32"/>
      <c r="C487" s="32"/>
      <c r="D487" s="32"/>
      <c r="E487" s="32"/>
    </row>
    <row r="488" spans="1:5">
      <c r="A488" s="32"/>
      <c r="B488" s="32"/>
      <c r="C488" s="32"/>
      <c r="D488" s="32"/>
      <c r="E488" s="32"/>
    </row>
    <row r="489" spans="1:5">
      <c r="A489" s="32"/>
      <c r="B489" s="32"/>
      <c r="C489" s="32"/>
      <c r="D489" s="32"/>
      <c r="E489" s="32"/>
    </row>
    <row r="490" spans="1:5">
      <c r="A490" s="32"/>
      <c r="B490" s="32"/>
      <c r="C490" s="32"/>
      <c r="D490" s="32"/>
      <c r="E490" s="32"/>
    </row>
    <row r="491" spans="1:5">
      <c r="A491" s="32"/>
      <c r="B491" s="32"/>
      <c r="C491" s="32"/>
      <c r="D491" s="32"/>
      <c r="E491" s="32"/>
    </row>
    <row r="492" spans="1:5">
      <c r="A492" s="32"/>
      <c r="B492" s="32"/>
      <c r="C492" s="32"/>
      <c r="D492" s="32"/>
      <c r="E492" s="32"/>
    </row>
    <row r="493" spans="1:5">
      <c r="A493" s="32"/>
      <c r="B493" s="32"/>
      <c r="C493" s="32"/>
      <c r="D493" s="32"/>
      <c r="E493" s="32"/>
    </row>
    <row r="494" spans="1:5">
      <c r="A494" s="32"/>
      <c r="B494" s="32"/>
      <c r="C494" s="32"/>
      <c r="D494" s="32"/>
      <c r="E494" s="32"/>
    </row>
    <row r="495" spans="1:5">
      <c r="A495" s="32"/>
      <c r="B495" s="32"/>
      <c r="C495" s="32"/>
      <c r="D495" s="32"/>
      <c r="E495" s="32"/>
    </row>
    <row r="496" spans="1:5">
      <c r="A496" s="32"/>
      <c r="B496" s="32"/>
      <c r="C496" s="32"/>
      <c r="D496" s="32"/>
      <c r="E496" s="32"/>
    </row>
    <row r="497" spans="1:5">
      <c r="A497" s="32"/>
      <c r="B497" s="32"/>
      <c r="C497" s="32"/>
      <c r="D497" s="32"/>
      <c r="E497" s="32"/>
    </row>
    <row r="498" spans="1:5">
      <c r="A498" s="32"/>
      <c r="B498" s="32"/>
      <c r="C498" s="32"/>
      <c r="D498" s="32"/>
      <c r="E498" s="32"/>
    </row>
    <row r="499" spans="1:5">
      <c r="A499" s="32"/>
      <c r="B499" s="32"/>
      <c r="C499" s="32"/>
      <c r="D499" s="32"/>
      <c r="E499" s="32"/>
    </row>
    <row r="500" spans="1:5">
      <c r="A500" s="32"/>
      <c r="B500" s="32"/>
      <c r="C500" s="32"/>
      <c r="D500" s="32"/>
      <c r="E500" s="32"/>
    </row>
    <row r="501" spans="1:5">
      <c r="A501" s="32"/>
      <c r="B501" s="32"/>
      <c r="C501" s="32"/>
      <c r="D501" s="32"/>
      <c r="E501" s="32"/>
    </row>
    <row r="502" spans="1:5">
      <c r="A502" s="32"/>
      <c r="B502" s="32"/>
      <c r="C502" s="32"/>
      <c r="D502" s="32"/>
      <c r="E502" s="32"/>
    </row>
    <row r="503" spans="1:5">
      <c r="A503" s="32"/>
      <c r="B503" s="32"/>
      <c r="C503" s="32"/>
      <c r="D503" s="32"/>
      <c r="E503" s="32"/>
    </row>
    <row r="504" spans="1:5">
      <c r="A504" s="32"/>
      <c r="B504" s="32"/>
      <c r="C504" s="32"/>
      <c r="D504" s="32"/>
      <c r="E504" s="32"/>
    </row>
    <row r="505" spans="1:5">
      <c r="A505" s="32"/>
      <c r="B505" s="32"/>
      <c r="C505" s="32"/>
      <c r="D505" s="32"/>
      <c r="E505" s="32"/>
    </row>
    <row r="506" spans="1:5">
      <c r="A506" s="32"/>
      <c r="B506" s="32"/>
      <c r="C506" s="32"/>
      <c r="D506" s="32"/>
      <c r="E506" s="32"/>
    </row>
    <row r="507" spans="1:5">
      <c r="A507" s="32"/>
      <c r="B507" s="32"/>
      <c r="C507" s="32"/>
      <c r="D507" s="32"/>
      <c r="E507" s="32"/>
    </row>
    <row r="508" spans="1:5">
      <c r="A508" s="32"/>
      <c r="B508" s="32"/>
      <c r="C508" s="32"/>
      <c r="D508" s="32"/>
      <c r="E508" s="32"/>
    </row>
    <row r="509" spans="1:5">
      <c r="A509" s="32"/>
      <c r="B509" s="32"/>
      <c r="C509" s="32"/>
      <c r="D509" s="32"/>
      <c r="E509" s="32"/>
    </row>
    <row r="510" spans="1:5">
      <c r="A510" s="32"/>
      <c r="B510" s="32"/>
      <c r="C510" s="32"/>
      <c r="D510" s="32"/>
      <c r="E510" s="32"/>
    </row>
    <row r="511" spans="1:5">
      <c r="A511" s="32"/>
      <c r="B511" s="32"/>
      <c r="C511" s="32"/>
      <c r="D511" s="32"/>
      <c r="E511" s="32"/>
    </row>
    <row r="512" spans="1:5">
      <c r="A512" s="32"/>
      <c r="B512" s="32"/>
      <c r="C512" s="32"/>
      <c r="D512" s="32"/>
      <c r="E512" s="32"/>
    </row>
    <row r="513" spans="1:5">
      <c r="A513" s="32"/>
      <c r="B513" s="32"/>
      <c r="C513" s="32"/>
      <c r="D513" s="32"/>
      <c r="E513" s="32"/>
    </row>
    <row r="514" spans="1:5">
      <c r="A514" s="32"/>
      <c r="B514" s="32"/>
      <c r="C514" s="32"/>
      <c r="D514" s="32"/>
      <c r="E514" s="32"/>
    </row>
    <row r="515" spans="1:5">
      <c r="A515" s="32"/>
      <c r="B515" s="32"/>
      <c r="C515" s="32"/>
      <c r="D515" s="32"/>
      <c r="E515" s="32"/>
    </row>
    <row r="516" spans="1:5">
      <c r="A516" s="32"/>
      <c r="B516" s="32"/>
      <c r="C516" s="32"/>
      <c r="D516" s="32"/>
      <c r="E516" s="32"/>
    </row>
    <row r="517" spans="1:5">
      <c r="A517" s="32"/>
      <c r="B517" s="32"/>
      <c r="C517" s="32"/>
      <c r="D517" s="32"/>
      <c r="E517" s="32"/>
    </row>
    <row r="518" spans="1:5">
      <c r="A518" s="32"/>
      <c r="B518" s="32"/>
      <c r="C518" s="32"/>
      <c r="D518" s="32"/>
      <c r="E518" s="32"/>
    </row>
    <row r="519" spans="1:5">
      <c r="A519" s="32"/>
      <c r="B519" s="32"/>
      <c r="C519" s="32"/>
      <c r="D519" s="32"/>
      <c r="E519" s="32"/>
    </row>
    <row r="520" spans="1:5">
      <c r="A520" s="32"/>
      <c r="B520" s="32"/>
      <c r="C520" s="32"/>
      <c r="D520" s="32"/>
      <c r="E520" s="32"/>
    </row>
    <row r="521" spans="1:5">
      <c r="A521" s="32"/>
      <c r="B521" s="32"/>
      <c r="C521" s="32"/>
      <c r="D521" s="32"/>
      <c r="E521" s="32"/>
    </row>
    <row r="522" spans="1:5">
      <c r="A522" s="32"/>
      <c r="B522" s="32"/>
      <c r="C522" s="32"/>
      <c r="D522" s="32"/>
      <c r="E522" s="32"/>
    </row>
    <row r="523" spans="1:5">
      <c r="A523" s="32"/>
      <c r="B523" s="32"/>
      <c r="C523" s="32"/>
      <c r="D523" s="32"/>
      <c r="E523" s="32"/>
    </row>
    <row r="524" spans="1:5">
      <c r="A524" s="32"/>
      <c r="B524" s="32"/>
      <c r="C524" s="32"/>
      <c r="D524" s="32"/>
      <c r="E524" s="32"/>
    </row>
    <row r="525" spans="1:5">
      <c r="A525" s="32"/>
      <c r="B525" s="32"/>
      <c r="C525" s="32"/>
      <c r="D525" s="32"/>
      <c r="E525" s="32"/>
    </row>
    <row r="526" spans="1:5">
      <c r="A526" s="32"/>
      <c r="B526" s="32"/>
      <c r="C526" s="32"/>
      <c r="D526" s="32"/>
      <c r="E526" s="32"/>
    </row>
    <row r="527" spans="1:5">
      <c r="A527" s="32"/>
      <c r="B527" s="32"/>
      <c r="C527" s="32"/>
      <c r="D527" s="32"/>
      <c r="E527" s="32"/>
    </row>
    <row r="528" spans="1:5">
      <c r="A528" s="32"/>
      <c r="B528" s="32"/>
      <c r="C528" s="32"/>
      <c r="D528" s="32"/>
      <c r="E528" s="32"/>
    </row>
    <row r="529" spans="1:5">
      <c r="A529" s="32"/>
      <c r="B529" s="32"/>
      <c r="C529" s="32"/>
      <c r="D529" s="32"/>
      <c r="E529" s="32"/>
    </row>
    <row r="530" spans="1:5">
      <c r="A530" s="32"/>
      <c r="B530" s="32"/>
      <c r="C530" s="32"/>
      <c r="D530" s="32"/>
      <c r="E530" s="32"/>
    </row>
    <row r="531" spans="1:5">
      <c r="A531" s="32"/>
      <c r="B531" s="32"/>
      <c r="C531" s="32"/>
      <c r="D531" s="32"/>
      <c r="E531" s="32"/>
    </row>
    <row r="532" spans="1:5">
      <c r="A532" s="32"/>
      <c r="B532" s="32"/>
      <c r="C532" s="32"/>
      <c r="D532" s="32"/>
      <c r="E532" s="32"/>
    </row>
    <row r="533" spans="1:5">
      <c r="A533" s="32"/>
      <c r="B533" s="32"/>
      <c r="C533" s="32"/>
      <c r="D533" s="32"/>
      <c r="E533" s="32"/>
    </row>
    <row r="534" spans="1:5">
      <c r="A534" s="32"/>
      <c r="B534" s="32"/>
      <c r="C534" s="32"/>
      <c r="D534" s="32"/>
      <c r="E534" s="32"/>
    </row>
    <row r="535" spans="1:5">
      <c r="A535" s="32"/>
      <c r="B535" s="32"/>
      <c r="C535" s="32"/>
      <c r="D535" s="32"/>
      <c r="E535" s="32"/>
    </row>
    <row r="536" spans="1:5">
      <c r="A536" s="32"/>
      <c r="B536" s="32"/>
      <c r="C536" s="32"/>
      <c r="D536" s="32"/>
      <c r="E536" s="32"/>
    </row>
    <row r="537" spans="1:5">
      <c r="A537" s="32"/>
      <c r="B537" s="32"/>
      <c r="C537" s="32"/>
      <c r="D537" s="32"/>
      <c r="E537" s="32"/>
    </row>
    <row r="538" spans="1:5">
      <c r="A538" s="32"/>
      <c r="B538" s="32"/>
      <c r="C538" s="32"/>
      <c r="D538" s="32"/>
      <c r="E538" s="32"/>
    </row>
    <row r="539" spans="1:5">
      <c r="A539" s="32"/>
      <c r="B539" s="32"/>
      <c r="C539" s="32"/>
      <c r="D539" s="32"/>
      <c r="E539" s="32"/>
    </row>
    <row r="540" spans="1:5">
      <c r="A540" s="32"/>
      <c r="B540" s="32"/>
      <c r="C540" s="32"/>
      <c r="D540" s="32"/>
      <c r="E540" s="32"/>
    </row>
    <row r="541" spans="1:5">
      <c r="A541" s="32"/>
      <c r="B541" s="32"/>
      <c r="C541" s="32"/>
      <c r="D541" s="32"/>
      <c r="E541" s="32"/>
    </row>
    <row r="542" spans="1:5">
      <c r="A542" s="32"/>
      <c r="B542" s="32"/>
      <c r="C542" s="32"/>
      <c r="D542" s="32"/>
      <c r="E542" s="32"/>
    </row>
    <row r="543" spans="1:5">
      <c r="A543" s="32"/>
      <c r="B543" s="32"/>
      <c r="C543" s="32"/>
      <c r="D543" s="32"/>
      <c r="E543" s="32"/>
    </row>
    <row r="544" spans="1:5">
      <c r="A544" s="32"/>
      <c r="B544" s="32"/>
      <c r="C544" s="32"/>
      <c r="D544" s="32"/>
      <c r="E544" s="32"/>
    </row>
    <row r="545" spans="1:5">
      <c r="A545" s="32"/>
      <c r="B545" s="32"/>
      <c r="C545" s="32"/>
      <c r="D545" s="32"/>
      <c r="E545" s="32"/>
    </row>
    <row r="546" spans="1:5">
      <c r="A546" s="32"/>
      <c r="B546" s="32"/>
      <c r="C546" s="32"/>
      <c r="D546" s="32"/>
      <c r="E546" s="32"/>
    </row>
    <row r="547" spans="1:5">
      <c r="A547" s="32"/>
      <c r="B547" s="32"/>
      <c r="C547" s="32"/>
      <c r="D547" s="32"/>
      <c r="E547" s="32"/>
    </row>
    <row r="548" spans="1:5">
      <c r="A548" s="32"/>
      <c r="B548" s="32"/>
      <c r="C548" s="32"/>
      <c r="D548" s="32"/>
      <c r="E548" s="32"/>
    </row>
    <row r="549" spans="1:5">
      <c r="A549" s="32"/>
      <c r="B549" s="32"/>
      <c r="C549" s="32"/>
      <c r="D549" s="32"/>
      <c r="E549" s="32"/>
    </row>
    <row r="550" spans="1:5">
      <c r="A550" s="32"/>
      <c r="B550" s="32"/>
      <c r="C550" s="32"/>
      <c r="D550" s="32"/>
      <c r="E550" s="32"/>
    </row>
    <row r="551" spans="1:5">
      <c r="A551" s="32"/>
      <c r="B551" s="32"/>
      <c r="C551" s="32"/>
      <c r="D551" s="32"/>
      <c r="E551" s="32"/>
    </row>
    <row r="552" spans="1:5">
      <c r="A552" s="32"/>
      <c r="B552" s="32"/>
      <c r="C552" s="32"/>
      <c r="D552" s="32"/>
      <c r="E552" s="32"/>
    </row>
    <row r="553" spans="1:5">
      <c r="A553" s="32"/>
      <c r="B553" s="32"/>
      <c r="C553" s="32"/>
      <c r="D553" s="32"/>
      <c r="E553" s="32"/>
    </row>
    <row r="554" spans="1:5">
      <c r="A554" s="32"/>
      <c r="B554" s="32"/>
      <c r="C554" s="32"/>
      <c r="D554" s="32"/>
      <c r="E554" s="32"/>
    </row>
    <row r="555" spans="1:5">
      <c r="A555" s="32"/>
      <c r="B555" s="32"/>
      <c r="C555" s="32"/>
      <c r="D555" s="32"/>
      <c r="E555" s="32"/>
    </row>
    <row r="556" spans="1:5">
      <c r="A556" s="32"/>
      <c r="B556" s="32"/>
      <c r="C556" s="32"/>
      <c r="D556" s="32"/>
      <c r="E556" s="32"/>
    </row>
    <row r="557" spans="1:5">
      <c r="A557" s="32"/>
      <c r="B557" s="32"/>
      <c r="C557" s="32"/>
      <c r="D557" s="32"/>
      <c r="E557" s="32"/>
    </row>
    <row r="558" spans="1:5">
      <c r="A558" s="32"/>
      <c r="B558" s="32"/>
      <c r="C558" s="32"/>
      <c r="D558" s="32"/>
      <c r="E558" s="32"/>
    </row>
    <row r="559" spans="1:5">
      <c r="A559" s="32"/>
      <c r="B559" s="32"/>
      <c r="C559" s="32"/>
      <c r="D559" s="32"/>
      <c r="E559" s="32"/>
    </row>
    <row r="560" spans="1:5">
      <c r="A560" s="32"/>
      <c r="B560" s="32"/>
      <c r="C560" s="32"/>
      <c r="D560" s="32"/>
      <c r="E560" s="32"/>
    </row>
    <row r="561" spans="1:5">
      <c r="A561" s="32"/>
      <c r="B561" s="32"/>
      <c r="C561" s="32"/>
      <c r="D561" s="32"/>
      <c r="E561" s="32"/>
    </row>
    <row r="562" spans="1:5">
      <c r="A562" s="32"/>
      <c r="B562" s="32"/>
      <c r="C562" s="32"/>
      <c r="D562" s="32"/>
      <c r="E562" s="32"/>
    </row>
    <row r="563" spans="1:5">
      <c r="A563" s="32"/>
      <c r="B563" s="32"/>
      <c r="C563" s="32"/>
      <c r="D563" s="32"/>
      <c r="E563" s="32"/>
    </row>
    <row r="564" spans="1:5">
      <c r="A564" s="32"/>
      <c r="B564" s="32"/>
      <c r="C564" s="32"/>
      <c r="D564" s="32"/>
      <c r="E564" s="32"/>
    </row>
    <row r="565" spans="1:5">
      <c r="A565" s="32"/>
      <c r="B565" s="32"/>
      <c r="C565" s="32"/>
      <c r="D565" s="32"/>
      <c r="E565" s="32"/>
    </row>
    <row r="566" spans="1:5">
      <c r="A566" s="32"/>
      <c r="B566" s="32"/>
      <c r="C566" s="32"/>
      <c r="D566" s="32"/>
      <c r="E566" s="32"/>
    </row>
    <row r="567" spans="1:5">
      <c r="A567" s="32"/>
      <c r="B567" s="32"/>
      <c r="C567" s="32"/>
      <c r="D567" s="32"/>
      <c r="E567" s="32"/>
    </row>
    <row r="568" spans="1:5">
      <c r="A568" s="32"/>
      <c r="B568" s="32"/>
      <c r="C568" s="32"/>
      <c r="D568" s="32"/>
      <c r="E568" s="32"/>
    </row>
    <row r="569" spans="1:5">
      <c r="A569" s="32"/>
      <c r="B569" s="32"/>
      <c r="C569" s="32"/>
      <c r="D569" s="32"/>
      <c r="E569" s="32"/>
    </row>
    <row r="570" spans="1:5">
      <c r="A570" s="32"/>
      <c r="B570" s="32"/>
      <c r="C570" s="32"/>
      <c r="D570" s="32"/>
      <c r="E570" s="32"/>
    </row>
    <row r="571" spans="1:5">
      <c r="A571" s="32"/>
      <c r="B571" s="32"/>
      <c r="C571" s="32"/>
      <c r="D571" s="32"/>
      <c r="E571" s="32"/>
    </row>
    <row r="572" spans="1:5">
      <c r="A572" s="32"/>
      <c r="B572" s="32"/>
      <c r="C572" s="32"/>
      <c r="D572" s="32"/>
      <c r="E572" s="32"/>
    </row>
    <row r="573" spans="1:5">
      <c r="A573" s="32"/>
      <c r="B573" s="32"/>
      <c r="C573" s="32"/>
      <c r="D573" s="32"/>
      <c r="E573" s="32"/>
    </row>
    <row r="574" spans="1:5">
      <c r="A574" s="32"/>
      <c r="B574" s="32"/>
      <c r="C574" s="32"/>
      <c r="D574" s="32"/>
      <c r="E574" s="32"/>
    </row>
    <row r="575" spans="1:5">
      <c r="A575" s="32"/>
      <c r="B575" s="32"/>
      <c r="C575" s="32"/>
      <c r="D575" s="32"/>
      <c r="E575" s="32"/>
    </row>
    <row r="576" spans="1:5">
      <c r="A576" s="32"/>
      <c r="B576" s="32"/>
      <c r="C576" s="32"/>
      <c r="D576" s="32"/>
      <c r="E576" s="32"/>
    </row>
    <row r="577" spans="1:5">
      <c r="A577" s="32"/>
      <c r="B577" s="32"/>
      <c r="C577" s="32"/>
      <c r="D577" s="32"/>
      <c r="E577" s="32"/>
    </row>
    <row r="578" spans="1:5">
      <c r="A578" s="32"/>
      <c r="B578" s="32"/>
      <c r="C578" s="32"/>
      <c r="D578" s="32"/>
      <c r="E578" s="32"/>
    </row>
    <row r="579" spans="1:5">
      <c r="A579" s="32"/>
      <c r="B579" s="32"/>
      <c r="C579" s="32"/>
      <c r="D579" s="32"/>
      <c r="E579" s="32"/>
    </row>
    <row r="580" spans="1:5">
      <c r="A580" s="32"/>
      <c r="B580" s="32"/>
      <c r="C580" s="32"/>
      <c r="D580" s="32"/>
      <c r="E580" s="32"/>
    </row>
    <row r="581" spans="1:5">
      <c r="A581" s="32"/>
      <c r="B581" s="32"/>
      <c r="C581" s="32"/>
      <c r="D581" s="32"/>
      <c r="E581" s="32"/>
    </row>
  </sheetData>
  <sheetProtection algorithmName="SHA-512" hashValue="bQ9MC3yX9aJE8oTbkkDNOr21nL2JwlM/IOZn6A9jkCNr6BQYfDSjg7/pVOW8gyU1JN/WdGAwr6UJiRJ+mPcnbg==" saltValue="c5l91bBe3QhiuOM2m3CM1Q==" spinCount="100000" sheet="1" objects="1" scenarios="1" selectLockedCells="1"/>
  <mergeCells count="27">
    <mergeCell ref="A1:D1"/>
    <mergeCell ref="A7:D7"/>
    <mergeCell ref="A8:D8"/>
    <mergeCell ref="B67:C67"/>
    <mergeCell ref="A68:E68"/>
    <mergeCell ref="A2:E2"/>
    <mergeCell ref="A3:E3"/>
    <mergeCell ref="A4:E4"/>
    <mergeCell ref="A5:E5"/>
    <mergeCell ref="A14:B14"/>
    <mergeCell ref="A6:E6"/>
    <mergeCell ref="B62:C62"/>
    <mergeCell ref="B63:C63"/>
    <mergeCell ref="B64:C64"/>
    <mergeCell ref="B65:C65"/>
    <mergeCell ref="B66:C66"/>
    <mergeCell ref="A32:E32"/>
    <mergeCell ref="A33:E33"/>
    <mergeCell ref="A54:E54"/>
    <mergeCell ref="A56:E56"/>
    <mergeCell ref="A61:E61"/>
    <mergeCell ref="D67:E67"/>
    <mergeCell ref="D62:E62"/>
    <mergeCell ref="D63:E63"/>
    <mergeCell ref="D64:E64"/>
    <mergeCell ref="D65:E65"/>
    <mergeCell ref="D66:E66"/>
  </mergeCells>
  <pageMargins left="0.7" right="0.7" top="0.75" bottom="0.75" header="0.3" footer="0.3"/>
  <pageSetup scale="94" orientation="landscape" r:id="rId1"/>
  <headerFooter>
    <oddHeader xml:space="preserve">&amp;C&amp;"Arial,Regular"&amp;12Cost of Grit Calculator&amp;"-,Regular"&amp;11
</oddHeader>
    <oddFooter xml:space="preserve">&amp;C&amp;"Arial,Regular"&amp;12Instructions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N46"/>
  <sheetViews>
    <sheetView zoomScale="70" zoomScaleNormal="70" workbookViewId="0">
      <selection sqref="A1:XFD1048576"/>
    </sheetView>
  </sheetViews>
  <sheetFormatPr defaultRowHeight="15"/>
  <cols>
    <col min="1" max="1" width="9.140625" style="24"/>
    <col min="2" max="2" width="11.85546875" style="24" customWidth="1"/>
    <col min="3" max="3" width="13" style="24" customWidth="1"/>
    <col min="4" max="7" width="9.140625" style="24"/>
    <col min="8" max="8" width="39.28515625" style="24" customWidth="1"/>
    <col min="9" max="16384" width="9.140625" style="24"/>
  </cols>
  <sheetData>
    <row r="1" spans="1:14">
      <c r="B1" s="24" t="s">
        <v>43</v>
      </c>
      <c r="C1" s="24" t="s">
        <v>44</v>
      </c>
    </row>
    <row r="2" spans="1:14">
      <c r="A2" s="24">
        <v>1</v>
      </c>
      <c r="B2" s="24">
        <f>IF(A2&lt;(Lifetime+1),'Cost of Grit'!H57,0)</f>
        <v>715670.02819548873</v>
      </c>
      <c r="C2" s="24">
        <f>IF(A2&lt;(Lifetime+1),AGM_Annual_Cost,0)</f>
        <v>143134.00563909771</v>
      </c>
      <c r="N2" s="25"/>
    </row>
    <row r="3" spans="1:14">
      <c r="A3" s="24">
        <f>A2+1</f>
        <v>2</v>
      </c>
      <c r="B3" s="24">
        <f t="shared" ref="B3:B41" si="0">IF(A3&lt;(Lifetime+1),Existing_Annual_Cost+B2,0)</f>
        <v>1431340.0563909775</v>
      </c>
      <c r="C3" s="24">
        <f t="shared" ref="C3:C41" si="1">IF(A3&lt;(Lifetime+1),AGM_Annual_Cost+C2,0)</f>
        <v>286268.01127819542</v>
      </c>
      <c r="N3" s="25"/>
    </row>
    <row r="4" spans="1:14">
      <c r="A4" s="24">
        <f t="shared" ref="A4:A46" si="2">A3+1</f>
        <v>3</v>
      </c>
      <c r="B4" s="24">
        <f t="shared" si="0"/>
        <v>2147010.0845864662</v>
      </c>
      <c r="C4" s="24">
        <f t="shared" si="1"/>
        <v>429402.01691729313</v>
      </c>
      <c r="N4" s="25"/>
    </row>
    <row r="5" spans="1:14">
      <c r="A5" s="24">
        <f t="shared" si="2"/>
        <v>4</v>
      </c>
      <c r="B5" s="24">
        <f t="shared" si="0"/>
        <v>2862680.1127819549</v>
      </c>
      <c r="C5" s="24">
        <f t="shared" si="1"/>
        <v>572536.02255639085</v>
      </c>
      <c r="N5" s="26"/>
    </row>
    <row r="6" spans="1:14">
      <c r="A6" s="24">
        <f t="shared" si="2"/>
        <v>5</v>
      </c>
      <c r="B6" s="24">
        <f t="shared" si="0"/>
        <v>3578350.1409774437</v>
      </c>
      <c r="C6" s="24">
        <f t="shared" si="1"/>
        <v>715670.0281954885</v>
      </c>
      <c r="N6" s="27"/>
    </row>
    <row r="7" spans="1:14">
      <c r="A7" s="24">
        <f t="shared" si="2"/>
        <v>6</v>
      </c>
      <c r="B7" s="24">
        <f t="shared" si="0"/>
        <v>4294020.1691729324</v>
      </c>
      <c r="C7" s="24">
        <f t="shared" si="1"/>
        <v>858804.03383458615</v>
      </c>
      <c r="N7" s="28"/>
    </row>
    <row r="8" spans="1:14">
      <c r="A8" s="24">
        <f t="shared" si="2"/>
        <v>7</v>
      </c>
      <c r="B8" s="24">
        <f t="shared" si="0"/>
        <v>5009690.1973684207</v>
      </c>
      <c r="C8" s="24">
        <f t="shared" si="1"/>
        <v>1001938.0394736838</v>
      </c>
      <c r="N8" s="25"/>
    </row>
    <row r="9" spans="1:14">
      <c r="A9" s="24">
        <f t="shared" si="2"/>
        <v>8</v>
      </c>
      <c r="B9" s="24">
        <f t="shared" si="0"/>
        <v>5725360.2255639099</v>
      </c>
      <c r="C9" s="24">
        <f t="shared" si="1"/>
        <v>1145072.0451127815</v>
      </c>
      <c r="N9" s="26"/>
    </row>
    <row r="10" spans="1:14">
      <c r="A10" s="24">
        <f t="shared" si="2"/>
        <v>9</v>
      </c>
      <c r="B10" s="24">
        <f t="shared" si="0"/>
        <v>6441030.2537593991</v>
      </c>
      <c r="C10" s="24">
        <f t="shared" si="1"/>
        <v>1288206.0507518791</v>
      </c>
      <c r="N10" s="27"/>
    </row>
    <row r="11" spans="1:14">
      <c r="A11" s="24">
        <f t="shared" si="2"/>
        <v>10</v>
      </c>
      <c r="B11" s="24">
        <f t="shared" si="0"/>
        <v>7156700.2819548883</v>
      </c>
      <c r="C11" s="24">
        <f t="shared" si="1"/>
        <v>1431340.0563909768</v>
      </c>
      <c r="N11" s="25"/>
    </row>
    <row r="12" spans="1:14">
      <c r="A12" s="24">
        <f t="shared" si="2"/>
        <v>11</v>
      </c>
      <c r="B12" s="24">
        <f t="shared" si="0"/>
        <v>7872370.3101503775</v>
      </c>
      <c r="C12" s="24">
        <f t="shared" si="1"/>
        <v>1574474.0620300744</v>
      </c>
      <c r="N12" s="26"/>
    </row>
    <row r="13" spans="1:14">
      <c r="A13" s="24">
        <f t="shared" si="2"/>
        <v>12</v>
      </c>
      <c r="B13" s="24">
        <f t="shared" si="0"/>
        <v>8588040.3383458667</v>
      </c>
      <c r="C13" s="24">
        <f t="shared" si="1"/>
        <v>1717608.0676691721</v>
      </c>
      <c r="N13" s="27"/>
    </row>
    <row r="14" spans="1:14">
      <c r="A14" s="24">
        <f t="shared" si="2"/>
        <v>13</v>
      </c>
      <c r="B14" s="24">
        <f t="shared" si="0"/>
        <v>9303710.3665413558</v>
      </c>
      <c r="C14" s="24">
        <f t="shared" si="1"/>
        <v>1860742.0733082697</v>
      </c>
      <c r="N14" s="25"/>
    </row>
    <row r="15" spans="1:14">
      <c r="A15" s="24">
        <f t="shared" si="2"/>
        <v>14</v>
      </c>
      <c r="B15" s="24">
        <f t="shared" si="0"/>
        <v>10019380.394736845</v>
      </c>
      <c r="C15" s="24">
        <f t="shared" si="1"/>
        <v>2003876.0789473674</v>
      </c>
      <c r="N15" s="25"/>
    </row>
    <row r="16" spans="1:14">
      <c r="A16" s="24">
        <f t="shared" si="2"/>
        <v>15</v>
      </c>
      <c r="B16" s="24">
        <f t="shared" si="0"/>
        <v>10735050.422932334</v>
      </c>
      <c r="C16" s="24">
        <f t="shared" si="1"/>
        <v>2147010.0845864653</v>
      </c>
      <c r="N16" s="26"/>
    </row>
    <row r="17" spans="1:14">
      <c r="A17" s="24">
        <f t="shared" si="2"/>
        <v>16</v>
      </c>
      <c r="B17" s="24">
        <f t="shared" si="0"/>
        <v>11450720.451127823</v>
      </c>
      <c r="C17" s="24">
        <f t="shared" si="1"/>
        <v>2290144.0902255629</v>
      </c>
      <c r="N17" s="27"/>
    </row>
    <row r="18" spans="1:14">
      <c r="A18" s="24">
        <f t="shared" si="2"/>
        <v>17</v>
      </c>
      <c r="B18" s="24">
        <f t="shared" si="0"/>
        <v>12166390.479323313</v>
      </c>
      <c r="C18" s="24">
        <f t="shared" si="1"/>
        <v>2433278.0958646606</v>
      </c>
      <c r="N18" s="25"/>
    </row>
    <row r="19" spans="1:14">
      <c r="A19" s="24">
        <f t="shared" si="2"/>
        <v>18</v>
      </c>
      <c r="B19" s="24">
        <f t="shared" si="0"/>
        <v>12882060.507518802</v>
      </c>
      <c r="C19" s="24">
        <f t="shared" si="1"/>
        <v>2576412.1015037582</v>
      </c>
      <c r="N19" s="29"/>
    </row>
    <row r="20" spans="1:14">
      <c r="A20" s="24">
        <f t="shared" si="2"/>
        <v>19</v>
      </c>
      <c r="B20" s="24">
        <f t="shared" si="0"/>
        <v>13597730.535714291</v>
      </c>
      <c r="C20" s="24">
        <f t="shared" si="1"/>
        <v>2719546.1071428559</v>
      </c>
      <c r="N20" s="30"/>
    </row>
    <row r="21" spans="1:14">
      <c r="A21" s="24">
        <f t="shared" si="2"/>
        <v>20</v>
      </c>
      <c r="B21" s="24">
        <f t="shared" si="0"/>
        <v>14313400.56390978</v>
      </c>
      <c r="C21" s="24">
        <f t="shared" si="1"/>
        <v>2862680.1127819535</v>
      </c>
      <c r="N21" s="25"/>
    </row>
    <row r="22" spans="1:14">
      <c r="A22" s="24">
        <f t="shared" si="2"/>
        <v>21</v>
      </c>
      <c r="B22" s="24">
        <f t="shared" si="0"/>
        <v>15029070.592105269</v>
      </c>
      <c r="C22" s="24">
        <f t="shared" si="1"/>
        <v>3005814.1184210512</v>
      </c>
      <c r="N22" s="29"/>
    </row>
    <row r="23" spans="1:14">
      <c r="A23" s="24">
        <f t="shared" si="2"/>
        <v>22</v>
      </c>
      <c r="B23" s="24">
        <f t="shared" si="0"/>
        <v>15744740.620300759</v>
      </c>
      <c r="C23" s="24">
        <f t="shared" si="1"/>
        <v>3148948.1240601488</v>
      </c>
      <c r="N23" s="30"/>
    </row>
    <row r="24" spans="1:14">
      <c r="A24" s="24">
        <f t="shared" si="2"/>
        <v>23</v>
      </c>
      <c r="B24" s="24">
        <f t="shared" si="0"/>
        <v>16460410.648496248</v>
      </c>
      <c r="C24" s="24">
        <f t="shared" si="1"/>
        <v>3292082.1296992465</v>
      </c>
      <c r="N24" s="25"/>
    </row>
    <row r="25" spans="1:14">
      <c r="A25" s="24">
        <f t="shared" si="2"/>
        <v>24</v>
      </c>
      <c r="B25" s="24">
        <f t="shared" si="0"/>
        <v>17176080.676691737</v>
      </c>
      <c r="C25" s="24">
        <f t="shared" si="1"/>
        <v>3435216.1353383441</v>
      </c>
      <c r="N25" s="25"/>
    </row>
    <row r="26" spans="1:14">
      <c r="A26" s="24">
        <f t="shared" si="2"/>
        <v>25</v>
      </c>
      <c r="B26" s="24">
        <f t="shared" si="0"/>
        <v>17891750.704887226</v>
      </c>
      <c r="C26" s="24">
        <f t="shared" si="1"/>
        <v>3578350.1409774418</v>
      </c>
      <c r="N26" s="26"/>
    </row>
    <row r="27" spans="1:14">
      <c r="A27" s="24">
        <f t="shared" si="2"/>
        <v>26</v>
      </c>
      <c r="B27" s="24">
        <f t="shared" si="0"/>
        <v>18607420.733082715</v>
      </c>
      <c r="C27" s="24">
        <f t="shared" si="1"/>
        <v>3721484.1466165395</v>
      </c>
      <c r="N27" s="27"/>
    </row>
    <row r="28" spans="1:14">
      <c r="A28" s="24">
        <f t="shared" si="2"/>
        <v>27</v>
      </c>
      <c r="B28" s="24">
        <f t="shared" si="0"/>
        <v>19323090.761278205</v>
      </c>
      <c r="C28" s="24">
        <f t="shared" si="1"/>
        <v>3864618.1522556371</v>
      </c>
      <c r="N28" s="25"/>
    </row>
    <row r="29" spans="1:14">
      <c r="A29" s="24">
        <f t="shared" si="2"/>
        <v>28</v>
      </c>
      <c r="B29" s="24">
        <f t="shared" si="0"/>
        <v>20038760.789473694</v>
      </c>
      <c r="C29" s="24">
        <f t="shared" si="1"/>
        <v>4007752.1578947348</v>
      </c>
      <c r="N29" s="25"/>
    </row>
    <row r="30" spans="1:14">
      <c r="A30" s="24">
        <f t="shared" si="2"/>
        <v>29</v>
      </c>
      <c r="B30" s="24">
        <f t="shared" si="0"/>
        <v>20754430.817669183</v>
      </c>
      <c r="C30" s="24">
        <f t="shared" si="1"/>
        <v>4150886.1635338324</v>
      </c>
      <c r="N30" s="31"/>
    </row>
    <row r="31" spans="1:14">
      <c r="A31" s="24">
        <f t="shared" si="2"/>
        <v>30</v>
      </c>
      <c r="B31" s="24">
        <f t="shared" si="0"/>
        <v>21470100.845864672</v>
      </c>
      <c r="C31" s="24">
        <f t="shared" si="1"/>
        <v>4294020.1691729305</v>
      </c>
      <c r="N31" s="30"/>
    </row>
    <row r="32" spans="1:14">
      <c r="A32" s="24">
        <f t="shared" si="2"/>
        <v>31</v>
      </c>
      <c r="B32" s="24">
        <f t="shared" si="0"/>
        <v>0</v>
      </c>
      <c r="C32" s="24">
        <f t="shared" si="1"/>
        <v>0</v>
      </c>
      <c r="N32" s="25"/>
    </row>
    <row r="33" spans="1:14">
      <c r="A33" s="24">
        <f t="shared" si="2"/>
        <v>32</v>
      </c>
      <c r="B33" s="24">
        <f t="shared" si="0"/>
        <v>0</v>
      </c>
      <c r="C33" s="24">
        <f t="shared" si="1"/>
        <v>0</v>
      </c>
      <c r="N33" s="26"/>
    </row>
    <row r="34" spans="1:14">
      <c r="A34" s="24">
        <f t="shared" si="2"/>
        <v>33</v>
      </c>
      <c r="B34" s="24">
        <f t="shared" si="0"/>
        <v>0</v>
      </c>
      <c r="C34" s="24">
        <f t="shared" si="1"/>
        <v>0</v>
      </c>
      <c r="N34" s="27"/>
    </row>
    <row r="35" spans="1:14">
      <c r="A35" s="24">
        <f t="shared" si="2"/>
        <v>34</v>
      </c>
      <c r="B35" s="24">
        <f t="shared" si="0"/>
        <v>0</v>
      </c>
      <c r="C35" s="24">
        <f t="shared" si="1"/>
        <v>0</v>
      </c>
      <c r="N35" s="25"/>
    </row>
    <row r="36" spans="1:14">
      <c r="A36" s="24">
        <f t="shared" si="2"/>
        <v>35</v>
      </c>
      <c r="B36" s="24">
        <f t="shared" si="0"/>
        <v>0</v>
      </c>
      <c r="C36" s="24">
        <f t="shared" si="1"/>
        <v>0</v>
      </c>
      <c r="N36" s="26"/>
    </row>
    <row r="37" spans="1:14">
      <c r="A37" s="24">
        <f t="shared" si="2"/>
        <v>36</v>
      </c>
      <c r="B37" s="24">
        <f t="shared" si="0"/>
        <v>0</v>
      </c>
      <c r="C37" s="24">
        <f t="shared" si="1"/>
        <v>0</v>
      </c>
      <c r="N37" s="27"/>
    </row>
    <row r="38" spans="1:14">
      <c r="A38" s="24">
        <f t="shared" si="2"/>
        <v>37</v>
      </c>
      <c r="B38" s="24">
        <f t="shared" si="0"/>
        <v>0</v>
      </c>
      <c r="C38" s="24">
        <f t="shared" si="1"/>
        <v>0</v>
      </c>
      <c r="N38" s="25"/>
    </row>
    <row r="39" spans="1:14">
      <c r="A39" s="24">
        <f t="shared" si="2"/>
        <v>38</v>
      </c>
      <c r="B39" s="24">
        <f t="shared" si="0"/>
        <v>0</v>
      </c>
      <c r="C39" s="24">
        <f t="shared" si="1"/>
        <v>0</v>
      </c>
      <c r="N39" s="25"/>
    </row>
    <row r="40" spans="1:14">
      <c r="A40" s="24">
        <f t="shared" si="2"/>
        <v>39</v>
      </c>
      <c r="B40" s="24">
        <f t="shared" si="0"/>
        <v>0</v>
      </c>
      <c r="C40" s="24">
        <f t="shared" si="1"/>
        <v>0</v>
      </c>
      <c r="N40" s="26"/>
    </row>
    <row r="41" spans="1:14">
      <c r="A41" s="24">
        <f t="shared" si="2"/>
        <v>40</v>
      </c>
      <c r="B41" s="24">
        <f t="shared" si="0"/>
        <v>0</v>
      </c>
      <c r="C41" s="24">
        <f t="shared" si="1"/>
        <v>0</v>
      </c>
      <c r="N41" s="27"/>
    </row>
    <row r="42" spans="1:14">
      <c r="A42" s="24">
        <f t="shared" si="2"/>
        <v>41</v>
      </c>
      <c r="N42" s="25"/>
    </row>
    <row r="43" spans="1:14">
      <c r="A43" s="24">
        <f t="shared" si="2"/>
        <v>42</v>
      </c>
      <c r="N43" s="26">
        <v>5.4</v>
      </c>
    </row>
    <row r="44" spans="1:14">
      <c r="A44" s="24">
        <f t="shared" si="2"/>
        <v>43</v>
      </c>
      <c r="N44" s="27"/>
    </row>
    <row r="45" spans="1:14">
      <c r="A45" s="24">
        <f t="shared" si="2"/>
        <v>44</v>
      </c>
    </row>
    <row r="46" spans="1:14">
      <c r="A46" s="24">
        <f t="shared" si="2"/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D90EEB16CCF429CD417951B4F2CBF" ma:contentTypeVersion="1" ma:contentTypeDescription="Create a new document." ma:contentTypeScope="" ma:versionID="3eeb4c063a553d678c3adf3e67a00864">
  <xsd:schema xmlns:xsd="http://www.w3.org/2001/XMLSchema" xmlns:xs="http://www.w3.org/2001/XMLSchema" xmlns:p="http://schemas.microsoft.com/office/2006/metadata/properties" xmlns:ns3="a1d53182-ed13-405d-973c-6a41ebbe2003" targetNamespace="http://schemas.microsoft.com/office/2006/metadata/properties" ma:root="true" ma:fieldsID="6c5341525da780f4286ca6ada3b6767b" ns3:_="">
    <xsd:import namespace="a1d53182-ed13-405d-973c-6a41ebbe2003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53182-ed13-405d-973c-6a41ebbe20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3F299-83A1-4514-8163-BB52294BB26D}">
  <ds:schemaRefs>
    <ds:schemaRef ds:uri="http://purl.org/dc/elements/1.1/"/>
    <ds:schemaRef ds:uri="http://schemas.microsoft.com/office/2006/metadata/properties"/>
    <ds:schemaRef ds:uri="http://purl.org/dc/terms/"/>
    <ds:schemaRef ds:uri="a1d53182-ed13-405d-973c-6a41ebbe20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3A39F7-8347-48C1-9AEF-DE30CAEE4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272824-8D49-4DBC-B6E2-08F776C294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53182-ed13-405d-973c-6a41ebbe20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25</vt:i4>
      </vt:variant>
    </vt:vector>
  </HeadingPairs>
  <TitlesOfParts>
    <vt:vector size="29" baseType="lpstr">
      <vt:lpstr>Cost of Grit</vt:lpstr>
      <vt:lpstr>Plant Data</vt:lpstr>
      <vt:lpstr>Instructions</vt:lpstr>
      <vt:lpstr>Graph Data</vt:lpstr>
      <vt:lpstr>'Cost of Grit'!Aeration_Basin_Cost</vt:lpstr>
      <vt:lpstr>'Cost of Grit'!Aeration_Basin_Impact</vt:lpstr>
      <vt:lpstr>AGM_Annual_Cost</vt:lpstr>
      <vt:lpstr>'Cost of Grit'!Annual_Cost</vt:lpstr>
      <vt:lpstr>'Cost of Grit'!Average_FLow</vt:lpstr>
      <vt:lpstr>bioreactor_cleaning</vt:lpstr>
      <vt:lpstr>'Cost of Grit'!Centrifuge_Cost</vt:lpstr>
      <vt:lpstr>'Cost of Grit'!Centrifuge_Wear</vt:lpstr>
      <vt:lpstr>City</vt:lpstr>
      <vt:lpstr>'Cost of Grit'!Clarifier_Cost</vt:lpstr>
      <vt:lpstr>'Cost of Grit'!Clarifier_Maintenance</vt:lpstr>
      <vt:lpstr>'Cost of Grit'!Digester_Cleaning</vt:lpstr>
      <vt:lpstr>'Cost of Grit'!Digester_Cleaning_Cost</vt:lpstr>
      <vt:lpstr>Existing_Annual_Cost</vt:lpstr>
      <vt:lpstr>'Cost of Grit'!existing_efficiency</vt:lpstr>
      <vt:lpstr>'Cost of Grit'!Grit_Tank_Cleaning</vt:lpstr>
      <vt:lpstr>'Cost of Grit'!Grit_Tank_Cost</vt:lpstr>
      <vt:lpstr>'Cost of Grit'!hydro_efficiency</vt:lpstr>
      <vt:lpstr>Lifetime</vt:lpstr>
      <vt:lpstr>'Cost of Grit'!Peak_Flow</vt:lpstr>
      <vt:lpstr>Plant_Name</vt:lpstr>
      <vt:lpstr>'Cost of Grit'!Print_Area</vt:lpstr>
      <vt:lpstr>Instructions!Print_Area</vt:lpstr>
      <vt:lpstr>'Cost of Grit'!Pump_Cost</vt:lpstr>
      <vt:lpstr>'Cost of Grit'!Pump_Maintenance</vt:lpstr>
    </vt:vector>
  </TitlesOfParts>
  <Company>Hydro Internationa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Paetel</dc:creator>
  <cp:lastModifiedBy>Ben Paetel</cp:lastModifiedBy>
  <cp:lastPrinted>2018-03-15T17:34:03Z</cp:lastPrinted>
  <dcterms:created xsi:type="dcterms:W3CDTF">2012-12-03T16:07:15Z</dcterms:created>
  <dcterms:modified xsi:type="dcterms:W3CDTF">2018-03-16T19:40:37Z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0x010100B23D90EEB16CCF429CD417951B4F2CBF</vt:lpwstr>
  </property>
</Properties>
</file>