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727"/>
  <workbookPr codeName="ThisWorkbook"/>
  <mc:AlternateContent xmlns:mc="http://schemas.openxmlformats.org/markup-compatibility/2006">
    <mc:Choice Requires="x15">
      <x15ac:absPath xmlns:x15ac="http://schemas.microsoft.com/office/spreadsheetml/2010/11/ac" url="C:\Users\bdomareki\OneDrive - Hydro International\Computer\Desktop\"/>
    </mc:Choice>
  </mc:AlternateContent>
  <xr:revisionPtr revIDLastSave="0" documentId="8_{BE0C0CB8-CD58-4A5C-9A68-84F05C1F63F8}" xr6:coauthVersionLast="43" xr6:coauthVersionMax="43" xr10:uidLastSave="{00000000-0000-0000-0000-000000000000}"/>
  <bookViews>
    <workbookView xWindow="-120" yWindow="-120" windowWidth="29040" windowHeight="15840" activeTab="1" xr2:uid="{00000000-000D-0000-FFFF-FFFF00000000}"/>
  </bookViews>
  <sheets>
    <sheet name="1-START HERE-Instructions" sheetId="22" r:id="rId1"/>
    <sheet name="2-Sizing" sheetId="12" r:id="rId2"/>
    <sheet name="3a-DWG 1-6 Modules (Online)" sheetId="17" r:id="rId3"/>
    <sheet name="3b-DWG 1-7 Modules (Offline)" sheetId="32" r:id="rId4"/>
    <sheet name="3c-DWG 8-19 Mods(On or Offline)" sheetId="33" r:id="rId5"/>
    <sheet name="3d-DWG 20-38Mods(On or Offline)" sheetId="34" r:id="rId6"/>
    <sheet name="3e-DWG 39-57Mods(On or Offline)" sheetId="35" r:id="rId7"/>
    <sheet name="Specification Text" sheetId="24" state="hidden" r:id="rId8"/>
    <sheet name="Performance" sheetId="18" state="hidden" r:id="rId9"/>
    <sheet name="Flow Rate Charts" sheetId="19" state="hidden" r:id="rId10"/>
    <sheet name="4-Get Specification" sheetId="28" r:id="rId11"/>
    <sheet name="5-Submit For Free Design Review" sheetId="26" r:id="rId12"/>
    <sheet name="6-Tell Us What You Think" sheetId="27" state="hidden" r:id="rId13"/>
  </sheets>
  <definedNames>
    <definedName name="_xlnm.Print_Area" localSheetId="0">'1-START HERE-Instructions'!$A$1:$N$41</definedName>
    <definedName name="_xlnm.Print_Area" localSheetId="1">'2-Sizing'!$B$1:$L$39</definedName>
    <definedName name="_xlnm.Print_Area" localSheetId="2">'3a-DWG 1-6 Modules (Online)'!$A$1:$L$56</definedName>
    <definedName name="_xlnm.Print_Area" localSheetId="3">'3b-DWG 1-7 Modules (Offline)'!$A$1:$L$46</definedName>
    <definedName name="_xlnm.Print_Area" localSheetId="4">'3c-DWG 8-19 Mods(On or Offline)'!$A$1:$K$47</definedName>
    <definedName name="_xlnm.Print_Area" localSheetId="5">'3d-DWG 20-38Mods(On or Offline)'!$A$1:$K$48</definedName>
    <definedName name="_xlnm.Print_Area" localSheetId="6">'3e-DWG 39-57Mods(On or Offline)'!$A$1:$L$45</definedName>
    <definedName name="_xlnm.Print_Area" localSheetId="10">'4-Get Specification'!$A$1:$K$23</definedName>
    <definedName name="_xlnm.Print_Area" localSheetId="11">'5-Submit For Free Design Review'!$A$1:$K$36</definedName>
    <definedName name="_xlnm.Print_Area" localSheetId="12">'6-Tell Us What You Think'!$A$1:$K$18</definedName>
    <definedName name="_xlnm.Print_Area" localSheetId="8">Performance!$M$9:$U$20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25" i="35" l="1"/>
  <c r="O25" i="35"/>
  <c r="N27" i="35" l="1"/>
  <c r="N19" i="35"/>
  <c r="N27" i="34" l="1"/>
  <c r="N19" i="17"/>
  <c r="N19" i="32"/>
  <c r="N19" i="33"/>
  <c r="N19" i="34"/>
  <c r="N27" i="33"/>
  <c r="N27" i="32"/>
  <c r="N7" i="17"/>
  <c r="N7" i="33" s="1"/>
  <c r="N26" i="17"/>
  <c r="V18" i="19"/>
  <c r="U18" i="19"/>
  <c r="T18" i="19"/>
  <c r="S18" i="19"/>
  <c r="R18" i="19"/>
  <c r="Q18" i="19"/>
  <c r="P18" i="19"/>
  <c r="AD55" i="19"/>
  <c r="AD39" i="19"/>
  <c r="AD23" i="19"/>
  <c r="AC69" i="19"/>
  <c r="AD69" i="19" s="1"/>
  <c r="AC68" i="19"/>
  <c r="AD68" i="19" s="1"/>
  <c r="AC67" i="19"/>
  <c r="AD67" i="19" s="1"/>
  <c r="AC66" i="19"/>
  <c r="AD66" i="19" s="1"/>
  <c r="AC65" i="19"/>
  <c r="AD65" i="19" s="1"/>
  <c r="AC64" i="19"/>
  <c r="AD64" i="19" s="1"/>
  <c r="AC63" i="19"/>
  <c r="AD63" i="19" s="1"/>
  <c r="AC62" i="19"/>
  <c r="AD62" i="19" s="1"/>
  <c r="AC61" i="19"/>
  <c r="AD61" i="19" s="1"/>
  <c r="AC60" i="19"/>
  <c r="AD60" i="19" s="1"/>
  <c r="AC59" i="19"/>
  <c r="AD59" i="19" s="1"/>
  <c r="AC58" i="19"/>
  <c r="AD58" i="19" s="1"/>
  <c r="AC57" i="19"/>
  <c r="AD57" i="19" s="1"/>
  <c r="AC56" i="19"/>
  <c r="AD56" i="19" s="1"/>
  <c r="AC55" i="19"/>
  <c r="AC54" i="19"/>
  <c r="AD54" i="19" s="1"/>
  <c r="AC53" i="19"/>
  <c r="AD53" i="19" s="1"/>
  <c r="AC52" i="19"/>
  <c r="AD52" i="19" s="1"/>
  <c r="AC51" i="19"/>
  <c r="AD51" i="19" s="1"/>
  <c r="AC50" i="19"/>
  <c r="AD50" i="19" s="1"/>
  <c r="AC49" i="19"/>
  <c r="AD49" i="19" s="1"/>
  <c r="AC48" i="19"/>
  <c r="AD48" i="19" s="1"/>
  <c r="AC47" i="19"/>
  <c r="AD47" i="19" s="1"/>
  <c r="AC46" i="19"/>
  <c r="AD46" i="19" s="1"/>
  <c r="AC45" i="19"/>
  <c r="AD45" i="19" s="1"/>
  <c r="AC44" i="19"/>
  <c r="AD44" i="19" s="1"/>
  <c r="AC43" i="19"/>
  <c r="AD43" i="19" s="1"/>
  <c r="AC42" i="19"/>
  <c r="AD42" i="19" s="1"/>
  <c r="AC41" i="19"/>
  <c r="AD41" i="19" s="1"/>
  <c r="AC40" i="19"/>
  <c r="AD40" i="19" s="1"/>
  <c r="AC39" i="19"/>
  <c r="AC38" i="19"/>
  <c r="AD38" i="19" s="1"/>
  <c r="AC37" i="19"/>
  <c r="AD37" i="19" s="1"/>
  <c r="AC36" i="19"/>
  <c r="AD36" i="19" s="1"/>
  <c r="AC35" i="19"/>
  <c r="AD35" i="19" s="1"/>
  <c r="AC34" i="19"/>
  <c r="AD34" i="19" s="1"/>
  <c r="AC33" i="19"/>
  <c r="AD33" i="19" s="1"/>
  <c r="AC32" i="19"/>
  <c r="AD32" i="19" s="1"/>
  <c r="AC31" i="19"/>
  <c r="AD31" i="19" s="1"/>
  <c r="AC30" i="19"/>
  <c r="AD30" i="19" s="1"/>
  <c r="AC29" i="19"/>
  <c r="AD29" i="19" s="1"/>
  <c r="AC28" i="19"/>
  <c r="AD28" i="19" s="1"/>
  <c r="AC27" i="19"/>
  <c r="AD27" i="19" s="1"/>
  <c r="AC26" i="19"/>
  <c r="AD26" i="19" s="1"/>
  <c r="AC25" i="19"/>
  <c r="AD25" i="19" s="1"/>
  <c r="AC24" i="19"/>
  <c r="AD24" i="19" s="1"/>
  <c r="AC23" i="19"/>
  <c r="AC22" i="19"/>
  <c r="AD22" i="19" s="1"/>
  <c r="AC21" i="19"/>
  <c r="AD21" i="19" s="1"/>
  <c r="AC20" i="19"/>
  <c r="AD20" i="19" s="1"/>
  <c r="AC19" i="19"/>
  <c r="AD19" i="19" s="1"/>
  <c r="AC18" i="19"/>
  <c r="AD18" i="19" s="1"/>
  <c r="AC17" i="19"/>
  <c r="AD17" i="19" s="1"/>
  <c r="AC16" i="19"/>
  <c r="AD16" i="19" s="1"/>
  <c r="AC15" i="19"/>
  <c r="AD15" i="19" s="1"/>
  <c r="AC14" i="19"/>
  <c r="AD14" i="19" s="1"/>
  <c r="AC13" i="19"/>
  <c r="AD13" i="19" s="1"/>
  <c r="O7" i="17" l="1"/>
  <c r="N7" i="35"/>
  <c r="N7" i="34"/>
  <c r="N7" i="32"/>
  <c r="L30" i="19"/>
  <c r="Q11" i="12"/>
  <c r="O8" i="17" l="1"/>
  <c r="O7" i="35"/>
  <c r="O7" i="34"/>
  <c r="O7" i="33"/>
  <c r="O7" i="32"/>
  <c r="K14" i="19"/>
  <c r="M2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Q9" i="12"/>
  <c r="S9" i="12" l="1"/>
  <c r="K12" i="19" s="1"/>
  <c r="N21" i="19"/>
  <c r="J36" i="19" l="1"/>
  <c r="J34" i="19"/>
  <c r="J32" i="19"/>
  <c r="P24" i="35"/>
  <c r="N20" i="35"/>
  <c r="N14" i="35"/>
  <c r="Q12" i="35"/>
  <c r="P12" i="35"/>
  <c r="R7" i="35"/>
  <c r="P24" i="34"/>
  <c r="N20" i="34"/>
  <c r="P25" i="34" s="1"/>
  <c r="N14" i="34"/>
  <c r="Q12" i="34"/>
  <c r="P12" i="34"/>
  <c r="N8" i="17"/>
  <c r="R7" i="33"/>
  <c r="P24" i="33"/>
  <c r="N20" i="33"/>
  <c r="N25" i="33" s="1"/>
  <c r="N14" i="33"/>
  <c r="Q12" i="33"/>
  <c r="P12" i="33"/>
  <c r="P24" i="32"/>
  <c r="N20" i="32"/>
  <c r="P20" i="32" s="1"/>
  <c r="N14" i="32"/>
  <c r="Q12" i="32"/>
  <c r="P12" i="32"/>
  <c r="N25" i="35" l="1"/>
  <c r="P25" i="35"/>
  <c r="N28" i="35"/>
  <c r="N25" i="34"/>
  <c r="N29" i="34"/>
  <c r="N26" i="33"/>
  <c r="O26" i="33" s="1"/>
  <c r="N25" i="32"/>
  <c r="N23" i="32"/>
  <c r="O23" i="32" s="1"/>
  <c r="N23" i="35"/>
  <c r="O23" i="35" s="1"/>
  <c r="N26" i="35"/>
  <c r="O26" i="35" s="1"/>
  <c r="O27" i="35" s="1"/>
  <c r="N23" i="34"/>
  <c r="O23" i="34" s="1"/>
  <c r="N26" i="34"/>
  <c r="O26" i="34" s="1"/>
  <c r="O27" i="34" s="1"/>
  <c r="R7" i="34"/>
  <c r="N23" i="33"/>
  <c r="O23" i="33" s="1"/>
  <c r="N26" i="32"/>
  <c r="O26" i="32" s="1"/>
  <c r="O27" i="32" s="1"/>
  <c r="R7" i="32"/>
  <c r="P20" i="35"/>
  <c r="P20" i="34"/>
  <c r="P20" i="33"/>
  <c r="O27" i="33" l="1"/>
  <c r="P24" i="17"/>
  <c r="N23" i="19" l="1"/>
  <c r="N22" i="19"/>
  <c r="Z50" i="12"/>
  <c r="Q8" i="12" l="1"/>
  <c r="S8" i="12" s="1"/>
  <c r="N24" i="19" l="1"/>
  <c r="AA13" i="18"/>
  <c r="R24" i="19"/>
  <c r="R23" i="19"/>
  <c r="R22" i="19"/>
  <c r="R21" i="19"/>
  <c r="P4" i="17"/>
  <c r="N14" i="17" l="1"/>
  <c r="L7" i="12"/>
  <c r="Z13" i="18"/>
  <c r="Z17" i="18"/>
  <c r="Z16" i="18"/>
  <c r="Z15" i="18"/>
  <c r="Z14" i="18"/>
  <c r="Q22" i="12" l="1"/>
  <c r="Q10" i="12" l="1"/>
  <c r="R10" i="12" s="1"/>
  <c r="R20" i="19"/>
  <c r="O2" i="19"/>
  <c r="K13" i="19" l="1"/>
  <c r="Q5" i="12"/>
  <c r="V20" i="19"/>
  <c r="O18" i="19"/>
  <c r="N18" i="19"/>
  <c r="J8" i="19"/>
  <c r="V24" i="19" s="1"/>
  <c r="B8" i="19"/>
  <c r="J7" i="19"/>
  <c r="V23" i="19" s="1"/>
  <c r="B7" i="19"/>
  <c r="J6" i="19"/>
  <c r="K6" i="19" s="1"/>
  <c r="B6" i="19"/>
  <c r="J5" i="19"/>
  <c r="V21" i="19" s="1"/>
  <c r="B5" i="19"/>
  <c r="K4" i="19"/>
  <c r="O17" i="18"/>
  <c r="O16" i="18"/>
  <c r="O15" i="18"/>
  <c r="O14" i="18"/>
  <c r="N20" i="17"/>
  <c r="AB43" i="12"/>
  <c r="AA43" i="12"/>
  <c r="AA44" i="12" s="1"/>
  <c r="Z43" i="12"/>
  <c r="Z44" i="12" s="1"/>
  <c r="Y43" i="12"/>
  <c r="Y44" i="12" s="1"/>
  <c r="X43" i="12"/>
  <c r="T42" i="12"/>
  <c r="R11" i="12"/>
  <c r="Q7" i="12"/>
  <c r="J37" i="19" l="1"/>
  <c r="J35" i="19"/>
  <c r="J33" i="19"/>
  <c r="P20" i="17"/>
  <c r="N25" i="17"/>
  <c r="N21" i="17"/>
  <c r="X45" i="12"/>
  <c r="M21" i="19"/>
  <c r="M24" i="19"/>
  <c r="AB45" i="12"/>
  <c r="K5" i="19"/>
  <c r="K8" i="19"/>
  <c r="V22" i="19"/>
  <c r="V26" i="19" s="1"/>
  <c r="O31" i="19" s="1"/>
  <c r="K7" i="19"/>
  <c r="AB44" i="12"/>
  <c r="AA45" i="12"/>
  <c r="X44" i="12"/>
  <c r="M23" i="19"/>
  <c r="M22" i="19"/>
  <c r="N23" i="17"/>
  <c r="L29" i="19"/>
  <c r="Z45" i="12"/>
  <c r="Y45" i="12"/>
  <c r="Q15" i="12" l="1"/>
  <c r="Q17" i="12" s="1"/>
  <c r="R17" i="12" s="1"/>
  <c r="M26" i="19"/>
  <c r="M34" i="19"/>
  <c r="R14" i="12" s="1"/>
  <c r="O25" i="32" l="1"/>
  <c r="O29" i="34"/>
  <c r="O25" i="34"/>
  <c r="Q25" i="34"/>
  <c r="O25" i="33"/>
  <c r="O25" i="17"/>
  <c r="P18" i="17"/>
  <c r="O26" i="17"/>
  <c r="O27" i="17"/>
  <c r="O28" i="35"/>
  <c r="Q27" i="35"/>
  <c r="Q27" i="32"/>
  <c r="Q27" i="34"/>
  <c r="Q27" i="33"/>
  <c r="R13" i="12"/>
  <c r="O20" i="34"/>
  <c r="Q59" i="12"/>
  <c r="Q43" i="12" s="1"/>
  <c r="M33" i="19"/>
  <c r="O29" i="19" s="1"/>
  <c r="N3" i="34"/>
  <c r="P3" i="34" s="1"/>
  <c r="N3" i="35"/>
  <c r="P3" i="35" s="1"/>
  <c r="N3" i="17"/>
  <c r="P3" i="17" s="1"/>
  <c r="N3" i="33"/>
  <c r="P3" i="33" s="1"/>
  <c r="N3" i="32"/>
  <c r="P3" i="32" s="1"/>
  <c r="N34" i="19"/>
  <c r="P14" i="12"/>
  <c r="O19" i="32"/>
  <c r="O19" i="33"/>
  <c r="P14" i="17"/>
  <c r="R12" i="17"/>
  <c r="P14" i="33"/>
  <c r="N28" i="34"/>
  <c r="P27" i="32"/>
  <c r="S7" i="34"/>
  <c r="O19" i="17"/>
  <c r="P26" i="35"/>
  <c r="N29" i="35"/>
  <c r="O23" i="17"/>
  <c r="O21" i="17"/>
  <c r="P26" i="32"/>
  <c r="P18" i="32"/>
  <c r="P27" i="33"/>
  <c r="O20" i="33"/>
  <c r="P14" i="34"/>
  <c r="P7" i="35"/>
  <c r="P14" i="32"/>
  <c r="P7" i="17"/>
  <c r="P4" i="32"/>
  <c r="P18" i="33"/>
  <c r="P4" i="33"/>
  <c r="S7" i="33"/>
  <c r="P4" i="35"/>
  <c r="O19" i="34"/>
  <c r="Q4" i="17"/>
  <c r="P7" i="32"/>
  <c r="O20" i="32"/>
  <c r="P7" i="33"/>
  <c r="P26" i="34"/>
  <c r="P27" i="35"/>
  <c r="S7" i="35"/>
  <c r="P18" i="35"/>
  <c r="N28" i="33"/>
  <c r="O20" i="17"/>
  <c r="S7" i="32"/>
  <c r="P26" i="33"/>
  <c r="P7" i="34"/>
  <c r="O19" i="35"/>
  <c r="P18" i="34"/>
  <c r="O20" i="35"/>
  <c r="P4" i="34"/>
  <c r="P14" i="35"/>
  <c r="P27" i="34"/>
  <c r="N28" i="17"/>
  <c r="N28" i="32"/>
  <c r="M35" i="19"/>
  <c r="M36" i="19"/>
  <c r="Q47" i="12" l="1"/>
  <c r="R47" i="12"/>
  <c r="Q51" i="12"/>
  <c r="N5" i="33"/>
  <c r="O5" i="33" s="1"/>
  <c r="P5" i="33" s="1"/>
  <c r="N5" i="34"/>
  <c r="N5" i="35"/>
  <c r="O5" i="35" s="1"/>
  <c r="P5" i="35" s="1"/>
  <c r="N1" i="34"/>
  <c r="N9" i="35"/>
  <c r="P9" i="35" s="1"/>
  <c r="N9" i="34"/>
  <c r="P9" i="34" s="1"/>
  <c r="N1" i="35"/>
  <c r="N9" i="33"/>
  <c r="P9" i="33" s="1"/>
  <c r="N1" i="33"/>
  <c r="N5" i="17"/>
  <c r="N5" i="32"/>
  <c r="N1" i="17"/>
  <c r="N9" i="32"/>
  <c r="P9" i="32" s="1"/>
  <c r="N1" i="32"/>
  <c r="N9" i="17"/>
  <c r="Q9" i="17" s="1"/>
  <c r="M37" i="19"/>
  <c r="Q18" i="12"/>
  <c r="V18" i="12" s="1"/>
  <c r="U42" i="12"/>
  <c r="S41" i="12" s="1"/>
  <c r="N6" i="17" l="1"/>
  <c r="N8" i="32"/>
  <c r="N13" i="32"/>
  <c r="O5" i="34"/>
  <c r="P5" i="34" s="1"/>
  <c r="Y18" i="12"/>
  <c r="W30" i="12" s="1"/>
  <c r="X30" i="12" s="1"/>
  <c r="N8" i="35"/>
  <c r="N6" i="34"/>
  <c r="P6" i="34" s="1"/>
  <c r="N13" i="34"/>
  <c r="N11" i="34"/>
  <c r="P11" i="34" s="1"/>
  <c r="N10" i="34"/>
  <c r="P10" i="34" s="1"/>
  <c r="N13" i="17"/>
  <c r="N6" i="35"/>
  <c r="P6" i="35" s="1"/>
  <c r="N10" i="35"/>
  <c r="P10" i="35" s="1"/>
  <c r="N13" i="35"/>
  <c r="N11" i="35"/>
  <c r="P11" i="35" s="1"/>
  <c r="N2" i="35"/>
  <c r="N2" i="34"/>
  <c r="P2" i="34" s="1"/>
  <c r="N10" i="17"/>
  <c r="Q10" i="17" s="1"/>
  <c r="N2" i="32"/>
  <c r="P2" i="32" s="1"/>
  <c r="N2" i="33"/>
  <c r="P2" i="33" s="1"/>
  <c r="R2" i="33" s="1"/>
  <c r="T2" i="33" s="1"/>
  <c r="N10" i="33"/>
  <c r="P10" i="33" s="1"/>
  <c r="N11" i="33"/>
  <c r="P11" i="33" s="1"/>
  <c r="N13" i="33"/>
  <c r="N6" i="33"/>
  <c r="P6" i="33" s="1"/>
  <c r="N6" i="32"/>
  <c r="P6" i="32" s="1"/>
  <c r="N10" i="32"/>
  <c r="P10" i="32" s="1"/>
  <c r="N11" i="32"/>
  <c r="P11" i="32" s="1"/>
  <c r="O5" i="17"/>
  <c r="P5" i="17" s="1"/>
  <c r="N11" i="17"/>
  <c r="Q11" i="17" s="1"/>
  <c r="P8" i="17"/>
  <c r="O5" i="32"/>
  <c r="P5" i="32" s="1"/>
  <c r="N2" i="17"/>
  <c r="P2" i="17" s="1"/>
  <c r="U18" i="12"/>
  <c r="Z48" i="12" s="1"/>
  <c r="P12" i="17"/>
  <c r="S18" i="12"/>
  <c r="Z18" i="12"/>
  <c r="W18" i="12"/>
  <c r="X18" i="12"/>
  <c r="Z49" i="12" l="1"/>
  <c r="C26" i="12" s="1"/>
  <c r="S2" i="17"/>
  <c r="O8" i="35"/>
  <c r="P8" i="35" s="1"/>
  <c r="P2" i="35"/>
  <c r="R2" i="35" s="1"/>
  <c r="T2" i="35" s="1"/>
  <c r="R2" i="34"/>
  <c r="T2" i="34" s="1"/>
  <c r="R2" i="32"/>
  <c r="T2" i="32" s="1"/>
  <c r="N22" i="17"/>
  <c r="O22" i="17" s="1"/>
  <c r="R13" i="17"/>
  <c r="N8" i="34"/>
  <c r="N8" i="33"/>
  <c r="N22" i="35"/>
  <c r="P13" i="35"/>
  <c r="Q13" i="35"/>
  <c r="N22" i="34"/>
  <c r="Q13" i="34"/>
  <c r="P13" i="34"/>
  <c r="Q13" i="33"/>
  <c r="P13" i="33"/>
  <c r="N22" i="33"/>
  <c r="R2" i="17"/>
  <c r="N22" i="32"/>
  <c r="O22" i="32" s="1"/>
  <c r="Q13" i="32"/>
  <c r="P13" i="32"/>
  <c r="P10" i="17"/>
  <c r="P11" i="17"/>
  <c r="P9" i="17"/>
  <c r="Q12" i="17"/>
  <c r="O22" i="35" l="1"/>
  <c r="N21" i="35"/>
  <c r="O21" i="35" s="1"/>
  <c r="O22" i="34"/>
  <c r="N21" i="34"/>
  <c r="O21" i="34" s="1"/>
  <c r="O22" i="33"/>
  <c r="N21" i="33"/>
  <c r="N29" i="33" s="1"/>
  <c r="O29" i="33" s="1"/>
  <c r="Z51" i="12"/>
  <c r="W53" i="12" s="1"/>
  <c r="O8" i="34"/>
  <c r="P8" i="34" s="1"/>
  <c r="O8" i="33"/>
  <c r="P8" i="33" s="1"/>
  <c r="O8" i="32"/>
  <c r="P8" i="32" s="1"/>
  <c r="N21" i="32"/>
  <c r="O21" i="32" s="1"/>
  <c r="O21" i="33"/>
  <c r="Q13" i="17"/>
  <c r="P13" i="17"/>
  <c r="P6" i="17"/>
</calcChain>
</file>

<file path=xl/sharedStrings.xml><?xml version="1.0" encoding="utf-8"?>
<sst xmlns="http://schemas.openxmlformats.org/spreadsheetml/2006/main" count="619" uniqueCount="377">
  <si>
    <t>cfs</t>
  </si>
  <si>
    <t>Model Number &amp; Diameter</t>
  </si>
  <si>
    <t>Maximum Pipe Diameter (in)</t>
  </si>
  <si>
    <t>Headloss at Peak Treatment Flow (in)</t>
  </si>
  <si>
    <t>Oil Storage Capacity (gal)</t>
  </si>
  <si>
    <t>Sediment Storage Capacity (cu-yd)</t>
  </si>
  <si>
    <t>Min Dist. From Outlet Invert to Top of Rim (ft)</t>
  </si>
  <si>
    <t>Standard Dist. From Sump Floor to Outlet Invert (ft)</t>
  </si>
  <si>
    <t>Peak Hydraulic Flow in Online Arrangement (cfs)</t>
  </si>
  <si>
    <t>Recommended Unit</t>
  </si>
  <si>
    <t>Project Name:</t>
  </si>
  <si>
    <t>Location:</t>
  </si>
  <si>
    <t>2.2 Sizing Methodology</t>
  </si>
  <si>
    <t>(cfs)</t>
  </si>
  <si>
    <t>Oil Storage Capacity</t>
  </si>
  <si>
    <t>Sediment Storage Capacity</t>
  </si>
  <si>
    <t>Maximum Inlet Pipe Diameter</t>
  </si>
  <si>
    <t>Today's Date:</t>
  </si>
  <si>
    <t>Date</t>
  </si>
  <si>
    <t>PG 1</t>
  </si>
  <si>
    <t>PG 2</t>
  </si>
  <si>
    <t>PG 3</t>
  </si>
  <si>
    <t>PG 4</t>
  </si>
  <si>
    <t>PG 5</t>
  </si>
  <si>
    <t xml:space="preserve">Water Quality Flow Rate =  </t>
  </si>
  <si>
    <t>Minimum Stormdrain Depth
(Final Grade to Outlet Invert)</t>
  </si>
  <si>
    <t xml:space="preserve">Peak Flow Rate =  </t>
  </si>
  <si>
    <t xml:space="preserve">         94 Hutchins Drive, Portland, Maine 04102  t:(207) 756-6200  f:(207) 756-6212 www.hydro-int.com</t>
  </si>
  <si>
    <t>Notes:</t>
  </si>
  <si>
    <r>
      <t>Downstream Defender</t>
    </r>
    <r>
      <rPr>
        <b/>
        <vertAlign val="superscript"/>
        <sz val="14"/>
        <color indexed="8"/>
        <rFont val="Calibri"/>
        <family val="2"/>
      </rPr>
      <t>®</t>
    </r>
    <r>
      <rPr>
        <b/>
        <sz val="14"/>
        <color indexed="8"/>
        <rFont val="Calibri"/>
        <family val="2"/>
      </rPr>
      <t xml:space="preserve"> Performance Specifications</t>
    </r>
  </si>
  <si>
    <r>
      <t>Depth</t>
    </r>
    <r>
      <rPr>
        <b/>
        <vertAlign val="superscript"/>
        <sz val="11"/>
        <color indexed="8"/>
        <rFont val="Calibri"/>
        <family val="2"/>
      </rPr>
      <t>1</t>
    </r>
  </si>
  <si>
    <r>
      <t>MTFR-50</t>
    </r>
    <r>
      <rPr>
        <b/>
        <vertAlign val="superscript"/>
        <sz val="11"/>
        <color indexed="8"/>
        <rFont val="Calibri"/>
        <family val="2"/>
      </rPr>
      <t>2</t>
    </r>
  </si>
  <si>
    <r>
      <t>MTFR-100</t>
    </r>
    <r>
      <rPr>
        <b/>
        <vertAlign val="superscript"/>
        <sz val="11"/>
        <color indexed="8"/>
        <rFont val="Calibri"/>
        <family val="2"/>
      </rPr>
      <t>3</t>
    </r>
  </si>
  <si>
    <r>
      <t>PTFR</t>
    </r>
    <r>
      <rPr>
        <b/>
        <vertAlign val="superscript"/>
        <sz val="11"/>
        <color indexed="8"/>
        <rFont val="Calibri"/>
        <family val="2"/>
      </rPr>
      <t>4</t>
    </r>
  </si>
  <si>
    <r>
      <t>Scour Flow Rate</t>
    </r>
    <r>
      <rPr>
        <b/>
        <vertAlign val="superscript"/>
        <sz val="11"/>
        <color indexed="8"/>
        <rFont val="Calibri"/>
        <family val="2"/>
      </rPr>
      <t>5</t>
    </r>
  </si>
  <si>
    <r>
      <t>Headloss</t>
    </r>
    <r>
      <rPr>
        <b/>
        <vertAlign val="superscript"/>
        <sz val="11"/>
        <color indexed="8"/>
        <rFont val="Calibri"/>
        <family val="2"/>
      </rPr>
      <t>6</t>
    </r>
  </si>
  <si>
    <t>(feet)</t>
  </si>
  <si>
    <t>(gal.)</t>
  </si>
  <si>
    <t>Downstream Defender Performance Specifications</t>
  </si>
  <si>
    <t>Flow Rate Parameters</t>
  </si>
  <si>
    <t>Target Particle Size</t>
  </si>
  <si>
    <t>Model Diameter (feet)</t>
  </si>
  <si>
    <t>Micron</t>
  </si>
  <si>
    <t>Flow Rates (cfs)</t>
  </si>
  <si>
    <t>Peak Treatment Flow Rates</t>
  </si>
  <si>
    <t>Water Quality Flow Rates          (80% Removal)</t>
  </si>
  <si>
    <t>Dia</t>
  </si>
  <si>
    <t>Outlet Pipe Dia</t>
  </si>
  <si>
    <t>PTFR</t>
  </si>
  <si>
    <t>Sed Storage</t>
  </si>
  <si>
    <t>-ft.</t>
  </si>
  <si>
    <t>-in.</t>
  </si>
  <si>
    <t>Min. Depth</t>
  </si>
  <si>
    <t>Std Sump Depth</t>
  </si>
  <si>
    <t>-ft</t>
  </si>
  <si>
    <t>1.  THIS IS A STANDARD DETAIL AND IS NOT SITE SPECIFIC.  ACTUAL INLET PIPE DIAMETER AND ANGLE MAY BE DIFFERENT THAN SHOWN.</t>
  </si>
  <si>
    <t>3.  CONTACT HYDRO INTERNATIONAL FOR SITE SPECIFIC DRAWINGS AND INSTALLATION REQUIREMENTS.</t>
  </si>
  <si>
    <t>Drop-down list for sizing criteria</t>
  </si>
  <si>
    <t>Unit Diameter</t>
  </si>
  <si>
    <r>
      <t>Outside New Jersey  Treatment Flow Rates</t>
    </r>
    <r>
      <rPr>
        <b/>
        <vertAlign val="superscript"/>
        <sz val="12"/>
        <color indexed="9"/>
        <rFont val="Calibri"/>
        <family val="2"/>
      </rPr>
      <t>1</t>
    </r>
    <r>
      <rPr>
        <b/>
        <sz val="12"/>
        <color indexed="9"/>
        <rFont val="Calibri"/>
        <family val="2"/>
      </rPr>
      <t xml:space="preserve"> </t>
    </r>
  </si>
  <si>
    <r>
      <t>NJDEP Flow Rate</t>
    </r>
    <r>
      <rPr>
        <b/>
        <vertAlign val="superscript"/>
        <sz val="12"/>
        <color indexed="9"/>
        <rFont val="Calibri"/>
        <family val="2"/>
      </rPr>
      <t>2</t>
    </r>
  </si>
  <si>
    <r>
      <t>MEDEP Flow Rates</t>
    </r>
    <r>
      <rPr>
        <b/>
        <vertAlign val="superscript"/>
        <sz val="12"/>
        <color indexed="9"/>
        <rFont val="Calibri"/>
        <family val="2"/>
      </rPr>
      <t>3</t>
    </r>
    <r>
      <rPr>
        <b/>
        <sz val="12"/>
        <color indexed="9"/>
        <rFont val="Calibri"/>
        <family val="2"/>
      </rPr>
      <t xml:space="preserve"> </t>
    </r>
  </si>
  <si>
    <r>
      <t>Indianapolis Flow Rates</t>
    </r>
    <r>
      <rPr>
        <b/>
        <vertAlign val="superscript"/>
        <sz val="12"/>
        <color indexed="9"/>
        <rFont val="Calibri"/>
        <family val="2"/>
      </rPr>
      <t>3</t>
    </r>
  </si>
  <si>
    <r>
      <t>Fort Wayne Flow Rates</t>
    </r>
    <r>
      <rPr>
        <b/>
        <vertAlign val="superscript"/>
        <sz val="12"/>
        <color indexed="9"/>
        <rFont val="Calibri"/>
        <family val="2"/>
      </rPr>
      <t xml:space="preserve">8 </t>
    </r>
  </si>
  <si>
    <r>
      <t>Wash DOE Flow Rates</t>
    </r>
    <r>
      <rPr>
        <b/>
        <vertAlign val="superscript"/>
        <sz val="12"/>
        <color indexed="9"/>
        <rFont val="Calibri"/>
        <family val="2"/>
      </rPr>
      <t xml:space="preserve">4 </t>
    </r>
  </si>
  <si>
    <r>
      <t>St. Louis MSD Flow Rates</t>
    </r>
    <r>
      <rPr>
        <b/>
        <vertAlign val="superscript"/>
        <sz val="12"/>
        <color indexed="9"/>
        <rFont val="Calibri"/>
        <family val="2"/>
      </rPr>
      <t>5</t>
    </r>
  </si>
  <si>
    <r>
      <t>Nashville Flow Rates</t>
    </r>
    <r>
      <rPr>
        <b/>
        <vertAlign val="superscript"/>
        <sz val="12"/>
        <color indexed="9"/>
        <rFont val="Calibri"/>
        <family val="2"/>
      </rPr>
      <t>7</t>
    </r>
  </si>
  <si>
    <t xml:space="preserve">50-Micron Flow Rates </t>
  </si>
  <si>
    <t>50-Micron Flow Rates Metric Units</t>
  </si>
  <si>
    <t>Removal Efficiency Rating</t>
  </si>
  <si>
    <r>
      <t>80% TSS Removal</t>
    </r>
    <r>
      <rPr>
        <b/>
        <vertAlign val="superscript"/>
        <sz val="12"/>
        <rFont val="Calibri"/>
        <family val="2"/>
      </rPr>
      <t xml:space="preserve">  </t>
    </r>
  </si>
  <si>
    <r>
      <t xml:space="preserve"> 50% TSS Removal</t>
    </r>
    <r>
      <rPr>
        <b/>
        <sz val="12"/>
        <rFont val="Calibri"/>
        <family val="2"/>
      </rPr>
      <t xml:space="preserve">  </t>
    </r>
  </si>
  <si>
    <r>
      <t>60% TSS Removal</t>
    </r>
    <r>
      <rPr>
        <b/>
        <vertAlign val="superscript"/>
        <sz val="12"/>
        <rFont val="Calibri"/>
        <family val="2"/>
      </rPr>
      <t xml:space="preserve"> </t>
    </r>
    <r>
      <rPr>
        <b/>
        <sz val="12"/>
        <rFont val="Calibri"/>
        <family val="2"/>
      </rPr>
      <t xml:space="preserve"> </t>
    </r>
  </si>
  <si>
    <r>
      <t>80% TSS Removal</t>
    </r>
    <r>
      <rPr>
        <b/>
        <vertAlign val="superscript"/>
        <sz val="12"/>
        <rFont val="Calibri"/>
        <family val="2"/>
      </rPr>
      <t xml:space="preserve"> </t>
    </r>
  </si>
  <si>
    <r>
      <t xml:space="preserve"> 80% TSS Removal</t>
    </r>
    <r>
      <rPr>
        <b/>
        <vertAlign val="superscript"/>
        <sz val="12"/>
        <rFont val="Calibri"/>
        <family val="2"/>
      </rPr>
      <t xml:space="preserve"> </t>
    </r>
  </si>
  <si>
    <r>
      <t xml:space="preserve"> 80% TSS Removal</t>
    </r>
    <r>
      <rPr>
        <b/>
        <vertAlign val="superscript"/>
        <sz val="12"/>
        <rFont val="Calibri"/>
        <family val="2"/>
      </rPr>
      <t>6</t>
    </r>
  </si>
  <si>
    <t>lps</t>
  </si>
  <si>
    <t xml:space="preserve"> --</t>
  </si>
  <si>
    <t xml:space="preserve">   --</t>
  </si>
  <si>
    <t>Scaling N-value</t>
  </si>
  <si>
    <t xml:space="preserve">1. Determined by performance testing using OK-110 test sediment. </t>
  </si>
  <si>
    <t xml:space="preserve">   These flow rates and 80% efficiency are usedin jurisdictions where no other criteria is specified.</t>
  </si>
  <si>
    <t>2.Based on performance testing using F-95 test sediment, Indirect testing.  See NJCAT Tech Verification Report</t>
  </si>
  <si>
    <t>3. Based on Jeff Dennis witnessed report for 583 gpm on July 12, 2002</t>
  </si>
  <si>
    <t>4. Same as MEDEP</t>
  </si>
  <si>
    <t>5. Based on MEDEP witnessed-testing with scaling factor of 2.85</t>
  </si>
  <si>
    <t>6. Based on 50-micron performance testing and 2.5 scaling</t>
  </si>
  <si>
    <t xml:space="preserve">Calgory also requires </t>
  </si>
  <si>
    <t>7. Used peak flow rates listed as MTFR</t>
  </si>
  <si>
    <t>8. Based on previous City of Indianapolis 2.85 scaling factor, that was downgraded to 2.5.  Fort Wayne stil 2.85</t>
  </si>
  <si>
    <t>50-micron</t>
  </si>
  <si>
    <t>New Jersey DEP</t>
  </si>
  <si>
    <t>Washington DOE</t>
  </si>
  <si>
    <t>City of Indianapolis</t>
  </si>
  <si>
    <t>St. Louis MSD</t>
  </si>
  <si>
    <t>City of Nashville</t>
  </si>
  <si>
    <t>Drop-down list for target particel size</t>
  </si>
  <si>
    <t>Other</t>
  </si>
  <si>
    <t>Hydraulic Design Check</t>
  </si>
  <si>
    <t>2.1 WQF Units</t>
  </si>
  <si>
    <t>Determine Size</t>
  </si>
  <si>
    <t>Select Method:</t>
  </si>
  <si>
    <t>Regulatory Agency</t>
  </si>
  <si>
    <t>Selected Method</t>
  </si>
  <si>
    <t>Drop-down list for sizing method</t>
  </si>
  <si>
    <t>Tolerance=</t>
  </si>
  <si>
    <t>Flow for user input sizing method-TPS=50</t>
  </si>
  <si>
    <t>Model Size=</t>
  </si>
  <si>
    <t>WQF=</t>
  </si>
  <si>
    <t>TPS50</t>
  </si>
  <si>
    <t>Selected TPS</t>
  </si>
  <si>
    <t>Max</t>
  </si>
  <si>
    <t>Sizing Method#</t>
  </si>
  <si>
    <t>MAX. WQF=</t>
  </si>
  <si>
    <t>Drop-down List for Applications</t>
  </si>
  <si>
    <t>Rim Elevation =</t>
  </si>
  <si>
    <t>Error for Rim to Invert</t>
  </si>
  <si>
    <t>Sump El.=</t>
  </si>
  <si>
    <t>Invert Pipe I.E.=</t>
  </si>
  <si>
    <t>Oultet Pipe I.E=</t>
  </si>
  <si>
    <t>Rim El.=</t>
  </si>
  <si>
    <t>***Warning***</t>
  </si>
  <si>
    <t xml:space="preserve">Company:      </t>
  </si>
  <si>
    <t>Depth=</t>
  </si>
  <si>
    <t>Standard Depth - Outlet Invert to Sump</t>
  </si>
  <si>
    <t xml:space="preserve"> Invert Elev of  Storm Drain Pipe = </t>
  </si>
  <si>
    <t xml:space="preserve"> - Enter Project Information</t>
  </si>
  <si>
    <t xml:space="preserve"> - Enter Water Quality Treatment flow and Peak Hydraulic flow</t>
  </si>
  <si>
    <t xml:space="preserve"> - Select a Sizing Methodology</t>
  </si>
  <si>
    <t>Introduction</t>
  </si>
  <si>
    <t xml:space="preserve">Pipe Diameter of  Storm Drain Pipe = </t>
  </si>
  <si>
    <t>STEP 1. Enter Project and Contact Information in YELLOW Cells</t>
  </si>
  <si>
    <t xml:space="preserve">Contact Name:      </t>
  </si>
  <si>
    <t xml:space="preserve">Phone:      </t>
  </si>
  <si>
    <t xml:space="preserve">E-mail:      </t>
  </si>
  <si>
    <t>Development Type:</t>
  </si>
  <si>
    <t>Drop-down List for Application Types</t>
  </si>
  <si>
    <t>Primary Treatment</t>
  </si>
  <si>
    <t>Pre-treatment</t>
  </si>
  <si>
    <t>Re-development</t>
  </si>
  <si>
    <t>New Development</t>
  </si>
  <si>
    <t>110-micron</t>
  </si>
  <si>
    <t>Tolerance1</t>
  </si>
  <si>
    <t>Tolerance2</t>
  </si>
  <si>
    <t>Freq</t>
  </si>
  <si>
    <t>&lt;10</t>
  </si>
  <si>
    <t>&gt;10</t>
  </si>
  <si>
    <t>New York DEC</t>
  </si>
  <si>
    <r>
      <t xml:space="preserve">***ERROR*** 
WQF exceeds available sizing.  Press </t>
    </r>
    <r>
      <rPr>
        <b/>
        <sz val="11"/>
        <color indexed="10"/>
        <rFont val="Calibri"/>
        <family val="2"/>
      </rPr>
      <t>HELP</t>
    </r>
    <r>
      <rPr>
        <sz val="11"/>
        <rFont val="Calibri"/>
        <family val="2"/>
      </rPr>
      <t xml:space="preserve"> to request technical support.</t>
    </r>
  </si>
  <si>
    <t>Tol Value</t>
  </si>
  <si>
    <t>Recommendation</t>
  </si>
  <si>
    <t>SD Pipe Dia Check</t>
  </si>
  <si>
    <t>SD &amp; Hydraulic Checks:</t>
  </si>
  <si>
    <t>Bypass Note -</t>
  </si>
  <si>
    <t>PART 1 - GENERAL</t>
  </si>
  <si>
    <t>B.    The manufacturer shall design and supply the equipment listed herein and the Contractor shall install the equipment in accordance with the manufacturer’s Handling, Storage, and Installation Instructions.</t>
  </si>
  <si>
    <t>A.    The HVS shall use an induced vortex to separate pollutants from stormwater runoff. The system shall be self-activating with no mechanical parts or external power requirements.</t>
  </si>
  <si>
    <t>B.    Upon request, independently certified performance data and references shall be made available to the Engineer of Record for use in determining that the HVS meets the design criteria and performance requirements stated herein.</t>
  </si>
  <si>
    <t>A.    Submittals shall be provided and shall include the following:</t>
  </si>
  <si>
    <t>                      i.        Site plan showing location and orientation of proposed pipe sizes, connections and excavation limits.</t>
  </si>
  <si>
    <t>A.    The HVS shall be manufactured under the direction of an ISO 9001 Certified Company.</t>
  </si>
  <si>
    <t>B.    Inspection</t>
  </si>
  <si>
    <t>PART 2 – STORMWATER HVS</t>
  </si>
  <si>
    <t>C.   Warranty</t>
  </si>
  <si>
    <t>D.   Patent Indemnity</t>
  </si>
  <si>
    <t>E.    Certificate of Compliance</t>
  </si>
  <si>
    <t>A.    The HVS shall be supplied by a manufacturer regularly engaged in such work who has furnished similar installations that have been in successful and continuous operation for a minimum period of five years.  The manufacturer shall be a Stormwater Equipment Manufacturer Association (SWEMA) member.</t>
  </si>
  <si>
    <t>B.    The HVS shall be certified by an acceptable State agency, such as a State Department of Environmental Protection (DEP) or industry verification or assessment agency (e.g.: ETV, NJCAT, NETE).</t>
  </si>
  <si>
    <t>A.    The HVS shall use a tangential inlet pipe to establish rotational flow within a cylindrical vortex chamber or be able to treat the Water Quality Flow Rate stated herein without re-suspending and releasing captured pollutants.  The HVS shall not release captured floating pollutants during surcharge conditions.</t>
  </si>
  <si>
    <t>B.    The HVS shall not exceed the pressure drop (headloss) for the design flow rates specified herein as determined by ASTM C1745 / C1745M – 11.</t>
  </si>
  <si>
    <t>C.   The HVS shall fit within the limits of excavation (area and depth) as shown in the project plans and will not exceed the dimensions for the design flow rates specified herein.</t>
  </si>
  <si>
    <t>E.    Minimum 24-inch openings shall provide access to the sediment storage volumes from the surface for inspection and maintenance.  Two access openings shall be provided for systems larger than 4 feet in diameter or 4 feet square.  Removal of pollutants from the HVS shall be possible without requiring confined space entry.</t>
  </si>
  <si>
    <t>A.    Performance of the HVS shall be based on independent full-scale laboratory and/or field testing and shall adhere to the Performance Specifications listed in Table 1.  The laboratory testing used as the basis of product performance shall be undertaken in accordance with testing protocols approved or endorsed by SWEMA or acceptable State agency, such as a State Department of Environmental Protection (DEP) or recognized verification agency (e.g.: ETV, NJCAT, NETE).</t>
  </si>
  <si>
    <t xml:space="preserve">B.    Performance of the HVS shall be based on treating the Water Quality Flow rate (WQF) without internally bypassing and without re-suspension and washout of captured pollutants (scour).  The Maximum Treatment Flow Rate(s) (MTFR-50 and/or MTFR-100) shall be greater than or equal to the WQF.  The HVS shall remove greater than or equal to 80% of TSS based on the Target Particle Size (TPS) of 50 microns and/or 100 microns at MTFR-50 and MTFR-100, respectively.  </t>
  </si>
  <si>
    <t>C.   The HVS shall treat all flows without internally bypassing up to the Peak Treatment Flow Rate (PTFR).  Full-scale independent laboratory scour testing shall demonstrate effluent control of less than or equal to 20 mg/L for all flows up to 150% of MTFR-100 without internal or external bypass.</t>
  </si>
  <si>
    <t>D.   The HVS shall be capable of capturing and retaining fine silt and sand size particles.  Analysis of captured sediment from full-scale field installations shall demonstrate particle sizes predominately in the 20-micron range.</t>
  </si>
  <si>
    <t xml:space="preserve">E.    The HVS shall capture and retain 100% of all floating trash and debris and remove greater than 80% of hydrocarbons up to its rated storage capacities under conditions of a catastrophic spill such as might be experienced in an automobile or truck accident spill like conditions.  </t>
  </si>
  <si>
    <t>Hydrodynamic Vortex Separator Performance Specifications</t>
  </si>
  <si>
    <t>1.     Depth measurement is from the outlet invert to top of the bottom slab.</t>
  </si>
  <si>
    <t>2.     MTFR-50 and MTFR-100 are the Maximum Treatment Flow Rates for removing target particle sizes of 50 microns and 100 microns, respectively.</t>
  </si>
  <si>
    <t>3.     Scour Flow Rates are based on testing that demonstrates retention of captured sediment having a D50 of 100.  Effluent concentrations shall not exceed 20 mg/L.</t>
  </si>
  <si>
    <t>4.     PTFR or Peak Treatment Flow Rate is based on the HVS maintaining positive removal efficiencies and headlosses no greater than those listed above for each model.</t>
  </si>
  <si>
    <t>5.     Headlosses are the difference in water elevations upstream and downstream of the HVS as determined by ASTM C1745 / C1745M – 11. The headlosses listed above for any particular model are for that HVS operating at the Peak Treatment Flow Rate.</t>
  </si>
  <si>
    <t>PART 3 – EQUIPMENT</t>
  </si>
  <si>
    <t>PART 4 - EQUIPMENT DELIVERY</t>
  </si>
  <si>
    <t>PART 5 - EQUIPMENT INSTALLATION</t>
  </si>
  <si>
    <t>1.01    SCOPE</t>
  </si>
  <si>
    <t>A.    Work described in this section includes furnishing all labor, equipment, materials, tools and incidentals required for a complete and operable installation of the  Hydrodynamic Vortex Separator (HVS) stormwater treatment system as shown on the drawings and specified herein.</t>
  </si>
  <si>
    <t>1.02    GENERAL REQUIREMENTS</t>
  </si>
  <si>
    <t>1.03    SUBMITTALS</t>
  </si>
  <si>
    <t>                      ii.        Product installation drawings showing plan and elevation views with water elevations for the flow conditions specified herein.</t>
  </si>
  <si>
    <t>                      iii.        Performance data as required in Part 2.</t>
  </si>
  <si>
    <t xml:space="preserve">                      iv.        Inspection and maintenance procedures with accompanying maintenance video and upon request, three references for verifying successful completion of the maintenance procedures and associated costs. </t>
  </si>
  <si>
    <t>1.04    QUALITY ASSURANCE</t>
  </si>
  <si>
    <t xml:space="preserve">                    The HVS shall be subject to inspection by the Engineer of Record or the owner’s representative at either the place of manufacture or the project site.  Any and all observed defects shall be repaired to the satisfaction of the owner or owner’s representative or replacement shall be made available.</t>
  </si>
  <si>
    <t xml:space="preserve">                    The manufacturer shall guarantee the HVS from defects in materials and workmanship for a period of two years following installation. If during the warranty period defects in materials or workmanship are noted, then the manufacturer shall be promptly notified.  The decision to repair or replace affected units shall be made at the discretion of the manufacturer.</t>
  </si>
  <si>
    <t xml:space="preserve">                   Upon request, the manufacturer shall warrant that the HVS does not infringe upon or violate any patent, copyright, trade secret or any other proprietary right of any third party and shall indemnify the Owner against any loss, cost, expense or liability arising out of such claim whether or not such claim is successful. </t>
  </si>
  <si>
    <t xml:space="preserve">                   Upon request, the manufacturer shall provide a “Letter of Certification” to certify that the HVS adheres to the specifications required herein and complies with the project’s stormwater management permit.</t>
  </si>
  <si>
    <t>1.05    MANUFACTURER</t>
  </si>
  <si>
    <t>2.01    GENERAL</t>
  </si>
  <si>
    <t>D.   The storage capacities for pollutants that settle (sediment) and float (oil) shall not be less than the volumes listed in Table 1.  The HVS shall operate as intended and perform as specified herein as pollutants accumulate.  The storage capacity for pollutants that settle shall not reduce the volume required in the HVS for separation and for preventing re-suspension and washout, or reduce the floatables storage volume capacity.</t>
  </si>
  <si>
    <t>2.02    PERFORMANCE</t>
  </si>
  <si>
    <t xml:space="preserve">A.    The HVS shall be manufactured with materials typically used in stormwater drainage systems that have a minimum life expectancy of 30 years. </t>
  </si>
  <si>
    <t xml:space="preserve">        (i)     Materials of construction shall be cross-linked polyethylene (XLPE) and/or Type 304 stainless steel or carbon steel powder coated in accordance with ASTM 775/ ASTM A775M with a resulting thickness of 8-12 mils.  All components shall be designed to withstand all normal loadings associated with fabrication, shipping, site installation, and normal operation of the equipment.</t>
  </si>
  <si>
    <t xml:space="preserve">        (ii)    Precast shall be manufactured with concrete that has attained a compressive strength of 4,000 psi after 28 days.  The structure shall be reinforced to withstand an HS20-44 loading.  Shiplap joints shall be sealed with butyl rubber mastic sealant conforming to ASTM C990.  Slab tops shall be suitably reinforced and provided with manhole openings and covers as required.  The cast iron manhole frames and covers shall be sized as per the manufacturer’s drawings and shall be in accordance with ASTM A48, CL.35B and AASHTO M105. The masonry fixing bolts shall be Type 304 stainless steel.</t>
  </si>
  <si>
    <t xml:space="preserve">        (iii)   All piping connections and ancillary items not listed herein shall be provided by the Contractor.</t>
  </si>
  <si>
    <t xml:space="preserve">A.    The HVS components shall be delivered within six weeks of date of approved technical submittal. </t>
  </si>
  <si>
    <t>B.    The HVS components shall be preassembled and delivered to the site fully fabricated and ready for the final assembly.</t>
  </si>
  <si>
    <t>C.    Off-loading, storage, and installation shall be by the Contractor.</t>
  </si>
  <si>
    <t>D.    The Contractor shall inspect and provide signed acceptance of equipment prior to unloading, or notify the manufacturer of any damage to equipment to effect proper remedial action.  Failure to notify the manufacturer of damage to equipment prior to unloading will void all warranties pertaining to subject equipment.</t>
  </si>
  <si>
    <t>A.    The system shall be installed in strict accordance with the site plans, and the manufacturer’s general arrangement drawings and Handling, Storage and Installation Instructions.  The Contractor shall be responsible for installing the equipment and all necessary site connections.</t>
  </si>
  <si>
    <t>B.    The Manufacturer shall be notified immediately of any equipment which is damaged during unloading, storage, or installation.  The damaged equipment shall be repaired or replaced at the discretion of the manufacturer and entirely at the Contractor’s expense.</t>
  </si>
  <si>
    <t>C.    The precast concrete structure shall be set on a granular or compacted sand sub-base in accordance with local requirements for standard manhole installation.  In no instances shall the compacted sub-base material have a thickness of less than 12 inches.</t>
  </si>
  <si>
    <t>D.    The precast concrete structure shall be set level and plumb to within 0.5%.</t>
  </si>
  <si>
    <t>E.    Non-shrink grout or hydraulic cement conforming to ASTM C 595 shall be used to provide a water tight seal in the lift holes, any drain holes and around the concrete knock-outs for the inlet and outlet pipes.</t>
  </si>
  <si>
    <t>F.    The Contractor shall, at the discretion of the owner or owner’s representative, test the concrete structure for water tightness before backfilling.</t>
  </si>
  <si>
    <t>Table 1 goes here (brings Spec Table from separate tab)</t>
  </si>
  <si>
    <t>Click to Download a Word *.doc Copy of the Downstream Defender Specification online.</t>
  </si>
  <si>
    <t>Get Downstream Defender Specification</t>
  </si>
  <si>
    <t xml:space="preserve">                                                        OR</t>
  </si>
  <si>
    <t>Enable Your Macros and click the "Copy to Word" button below to generate a Word file. NOTE: You must be running Microsoft Office 2007 or later for this option to work.</t>
  </si>
  <si>
    <t xml:space="preserve">Ready for a free Technical Design Review and Price Estimate? </t>
  </si>
  <si>
    <t>Your feedback is important to us.</t>
  </si>
  <si>
    <t>Thank You!</t>
  </si>
  <si>
    <r>
      <t>Max
Depth</t>
    </r>
    <r>
      <rPr>
        <vertAlign val="superscript"/>
        <sz val="9"/>
        <rFont val="Calibri"/>
        <family val="2"/>
        <scheme val="minor"/>
      </rPr>
      <t>1</t>
    </r>
  </si>
  <si>
    <r>
      <t>MTFR-50</t>
    </r>
    <r>
      <rPr>
        <vertAlign val="superscript"/>
        <sz val="11"/>
        <rFont val="Calibri"/>
        <family val="2"/>
        <scheme val="minor"/>
      </rPr>
      <t>2</t>
    </r>
  </si>
  <si>
    <r>
      <t>MTFR-100</t>
    </r>
    <r>
      <rPr>
        <vertAlign val="superscript"/>
        <sz val="11"/>
        <rFont val="Calibri"/>
        <family val="2"/>
        <scheme val="minor"/>
      </rPr>
      <t>2</t>
    </r>
  </si>
  <si>
    <r>
      <t>Scour
 Flow Rate</t>
    </r>
    <r>
      <rPr>
        <vertAlign val="superscript"/>
        <sz val="11"/>
        <rFont val="Calibri"/>
        <family val="2"/>
        <scheme val="minor"/>
      </rPr>
      <t>3</t>
    </r>
  </si>
  <si>
    <r>
      <t>PTFR</t>
    </r>
    <r>
      <rPr>
        <vertAlign val="superscript"/>
        <sz val="11"/>
        <rFont val="Calibri"/>
        <family val="2"/>
        <scheme val="minor"/>
      </rPr>
      <t>4</t>
    </r>
  </si>
  <si>
    <r>
      <t>Headloss</t>
    </r>
    <r>
      <rPr>
        <vertAlign val="superscript"/>
        <sz val="11"/>
        <rFont val="Calibri"/>
        <family val="2"/>
        <scheme val="minor"/>
      </rPr>
      <t>5</t>
    </r>
  </si>
  <si>
    <r>
      <t>Oil
Storage Capacity</t>
    </r>
    <r>
      <rPr>
        <vertAlign val="superscript"/>
        <sz val="11"/>
        <rFont val="Calibri"/>
        <family val="2"/>
        <scheme val="minor"/>
      </rPr>
      <t>6</t>
    </r>
  </si>
  <si>
    <r>
      <t>Sediment Storage
 Capacity</t>
    </r>
    <r>
      <rPr>
        <vertAlign val="superscript"/>
        <sz val="11"/>
        <rFont val="Calibri"/>
        <family val="2"/>
        <scheme val="minor"/>
      </rPr>
      <t>6</t>
    </r>
  </si>
  <si>
    <t>6.     Refer to 2.02 E.</t>
  </si>
  <si>
    <t>There are two options to obtain a specification document in Microsoft Word file format:</t>
  </si>
  <si>
    <t>- click on the hyperlink and download the latest specification document from our website (internet connection required).</t>
  </si>
  <si>
    <t>Click</t>
  </si>
  <si>
    <t>this link</t>
  </si>
  <si>
    <t>Please help us improve the Downstream Defender Sizing Calculator by submitting your comments on our short, 6-question Feedback Form.</t>
  </si>
  <si>
    <t xml:space="preserve">into the next version of the software.  </t>
  </si>
  <si>
    <t>1. Step 1 - Read this Instructions Page.</t>
  </si>
  <si>
    <t>Click to go to Online Submission Form.</t>
  </si>
  <si>
    <r>
      <rPr>
        <b/>
        <sz val="9"/>
        <color rgb="FF6600CC"/>
        <rFont val="Arial"/>
        <family val="2"/>
      </rPr>
      <t>Note</t>
    </r>
    <r>
      <rPr>
        <b/>
        <sz val="9"/>
        <color rgb="FF395E85"/>
        <rFont val="Arial"/>
        <family val="2"/>
      </rPr>
      <t>:</t>
    </r>
    <r>
      <rPr>
        <b/>
        <sz val="9"/>
        <color theme="1" tint="0.249977111117893"/>
        <rFont val="Arial"/>
        <family val="2"/>
      </rPr>
      <t xml:space="preserve"> </t>
    </r>
    <r>
      <rPr>
        <sz val="9"/>
        <color theme="1" tint="0.249977111117893"/>
        <rFont val="Arial"/>
        <family val="2"/>
      </rPr>
      <t xml:space="preserve">An Internet Connection is required to follow the link to the specification file. </t>
    </r>
  </si>
  <si>
    <t>Thank you for downloading the Up-Flo® Filter Sizing Calculator. We hope this will be a useful tool for engineers who would like</t>
  </si>
  <si>
    <t xml:space="preserve">a simple and convenient way to to determine the required Up-Flo® Filter model size for a given site. With a few basic User Inputs, </t>
  </si>
  <si>
    <t>the calculator will recommend an Up-Flo® Filter model size that meets your treatment objectives. It will generate a</t>
  </si>
  <si>
    <t>"NOT FOR CONSTRUCTION" General Arrangement Drawing and provide an Up-Flo® Filter specification for use on your project.</t>
  </si>
  <si>
    <t>Please contact Hydro International at (207) 756-6200 or stormwaterinquiry@hydro-int.com at any point during the process if you require assistance.</t>
  </si>
  <si>
    <t xml:space="preserve"> - Enter the Invert Elevation of the Storm Drain Pipe at the proposed Up-Flo® Filter location</t>
  </si>
  <si>
    <t xml:space="preserve"> - Enter proposed Rim or Finished Grade elevation of the Up-Flo® Filter</t>
  </si>
  <si>
    <t>Using the Up-Flo® Filter Sizing Calculator</t>
  </si>
  <si>
    <r>
      <rPr>
        <b/>
        <sz val="10"/>
        <color theme="1" tint="0.14999847407452621"/>
        <rFont val="Arial"/>
        <family val="2"/>
      </rPr>
      <t>4. Specify the Up-Flo® Filter on a project</t>
    </r>
    <r>
      <rPr>
        <sz val="10"/>
        <color theme="1" tint="0.14999847407452621"/>
        <rFont val="Arial"/>
        <family val="2"/>
      </rPr>
      <t xml:space="preserve">. Proceed to the "Step 4-Get Specification" Worksheet. </t>
    </r>
  </si>
  <si>
    <t>Number of Filter Modules Req'd</t>
  </si>
  <si>
    <t>STEP 2.  Select Sizing Methodology</t>
  </si>
  <si>
    <t>Select Sizing Methodology from Drop Down:</t>
  </si>
  <si>
    <t>7 ft x 8 ft</t>
  </si>
  <si>
    <t>78 in x 126 in</t>
  </si>
  <si>
    <t>132 in x 156 in</t>
  </si>
  <si>
    <t>180 in x 156 in</t>
  </si>
  <si>
    <t>4-ft round</t>
  </si>
  <si>
    <t>gpm</t>
  </si>
  <si>
    <t>STEP 3.   Enter Project Flow Rate Info</t>
  </si>
  <si>
    <t>Drop-down list for sizing methodology</t>
  </si>
  <si>
    <t>The filtration system must be offline</t>
  </si>
  <si>
    <t>No</t>
  </si>
  <si>
    <t># Filer Modules Req'd</t>
  </si>
  <si>
    <t>-Module</t>
  </si>
  <si>
    <t>Inlet Pipe Size Options</t>
  </si>
  <si>
    <t>Outlet Pipe Size Options</t>
  </si>
  <si>
    <t>Max No. Modules</t>
  </si>
  <si>
    <t>Typical Filter Chamber Size</t>
  </si>
  <si>
    <t>Model (Width)</t>
  </si>
  <si>
    <t>Max Outlet Pipe Size</t>
  </si>
  <si>
    <t>Depth Rim to Invert</t>
  </si>
  <si>
    <t>in</t>
  </si>
  <si>
    <t>ft</t>
  </si>
  <si>
    <t>Model Width</t>
  </si>
  <si>
    <t>Standard Chamber Length</t>
  </si>
  <si>
    <t>Min. Rim EL. =</t>
  </si>
  <si>
    <t>STEP 4.   Enter Site Values</t>
  </si>
  <si>
    <t>STEP 5. Check Output: Sizing Recommendation and Design Parameters</t>
  </si>
  <si>
    <t>Max Outlet Pipe Diameter</t>
  </si>
  <si>
    <t>Max Inlet Pipe Size</t>
  </si>
  <si>
    <t>Operating Head</t>
  </si>
  <si>
    <t>-in</t>
  </si>
  <si>
    <t>Modules=</t>
  </si>
  <si>
    <t>Vault Width=</t>
  </si>
  <si>
    <t>Vault Length=</t>
  </si>
  <si>
    <t>Mods Req'd</t>
  </si>
  <si>
    <t>Width</t>
  </si>
  <si>
    <t># Modules Req'd</t>
  </si>
  <si>
    <t>Chamber Length</t>
  </si>
  <si>
    <t>Req'd Chamber Length based on Pipe Diameter</t>
  </si>
  <si>
    <t>Chamber Length Req'd</t>
  </si>
  <si>
    <t>Pipe Dia</t>
  </si>
  <si>
    <t>Max Pipe Diameter</t>
  </si>
  <si>
    <t>Concatenate WxL</t>
  </si>
  <si>
    <t>(cu-ft)</t>
  </si>
  <si>
    <t>(in)</t>
  </si>
  <si>
    <t>Model Size</t>
  </si>
  <si>
    <t>Oil  Storage</t>
  </si>
  <si>
    <t>-gal</t>
  </si>
  <si>
    <t xml:space="preserve"> cu-ft</t>
  </si>
  <si>
    <t>Peak Flow Units</t>
  </si>
  <si>
    <t>2.1 WQF (gpm)</t>
  </si>
  <si>
    <t>Peak Flow (gpm)</t>
  </si>
  <si>
    <r>
      <t xml:space="preserve">The Filtration System Must be Offline </t>
    </r>
    <r>
      <rPr>
        <sz val="9"/>
        <color theme="1" tint="0.249977111117893"/>
        <rFont val="Arial"/>
        <family val="2"/>
      </rPr>
      <t>(Yes/No)</t>
    </r>
  </si>
  <si>
    <t>(gpm)</t>
  </si>
  <si>
    <t xml:space="preserve">-in x </t>
  </si>
  <si>
    <t>Peak Internal Bypass Flow Check</t>
  </si>
  <si>
    <t>Must be Offline</t>
  </si>
  <si>
    <t>Yes</t>
  </si>
  <si>
    <t>Max inlet pipe dia</t>
  </si>
  <si>
    <t>WSE/Bypass EL</t>
  </si>
  <si>
    <t>No. of Filter Mods in Config</t>
  </si>
  <si>
    <r>
      <t xml:space="preserve">click below to submit your UFF Sizing Calculator *.xls file to Hydro International for a </t>
    </r>
    <r>
      <rPr>
        <b/>
        <sz val="9"/>
        <color theme="1" tint="0.14999847407452621"/>
        <rFont val="Arial"/>
        <family val="2"/>
      </rPr>
      <t xml:space="preserve">free design review </t>
    </r>
    <r>
      <rPr>
        <sz val="9"/>
        <color theme="1" tint="0.14999847407452621"/>
        <rFont val="Arial"/>
        <family val="2"/>
      </rPr>
      <t>and</t>
    </r>
    <r>
      <rPr>
        <b/>
        <sz val="9"/>
        <color theme="1" tint="0.14999847407452621"/>
        <rFont val="Arial"/>
        <family val="2"/>
      </rPr>
      <t xml:space="preserve"> price estimate</t>
    </r>
    <r>
      <rPr>
        <sz val="9"/>
        <color theme="1" tint="0.14999847407452621"/>
        <rFont val="Arial"/>
        <family val="2"/>
      </rPr>
      <t>.</t>
    </r>
  </si>
  <si>
    <t>Inlet Pipe I.E.=</t>
  </si>
  <si>
    <t>VAULT</t>
  </si>
  <si>
    <t>Height</t>
  </si>
  <si>
    <t>Media</t>
  </si>
  <si>
    <t>MTFR (Module)</t>
  </si>
  <si>
    <t>MTFR (System)</t>
  </si>
  <si>
    <t>MTFR-Module</t>
  </si>
  <si>
    <t>MTFR - System</t>
  </si>
  <si>
    <t xml:space="preserve"> </t>
  </si>
  <si>
    <t>Outlet Invert to TOS</t>
  </si>
  <si>
    <t>***Online System Recommended***
No External Bypass Required Based on Sizing Methodology, Pipe Size and Peak Flow Rates entered.
Use"DWG 1-6 Modules (Online)" on Worksheet 3a.</t>
  </si>
  <si>
    <t>Drawing Text</t>
  </si>
  <si>
    <t>Use "DWG 1-7 Modules (Offline)" on Worksheet 3b.</t>
  </si>
  <si>
    <t xml:space="preserve">Use "DWG 8-19 Modules (On or Offline)" on Worksehet 3c. </t>
  </si>
  <si>
    <t xml:space="preserve">Use "DWG 20-38 Modules (On or Offline)" on Worksheet 3d. </t>
  </si>
  <si>
    <t xml:space="preserve">Use "DWG 39-57 Modules (On or Offline)" on Worksheet 3e. </t>
  </si>
  <si>
    <t>Drawing Result</t>
  </si>
  <si>
    <t>Text Message</t>
  </si>
  <si>
    <t>http://ci25.actonsoftware.com/acton/form/2795/0011:d-0001/1/index.htm</t>
  </si>
  <si>
    <t>Get a Written Up-Flo® Filter Specification *.doc File</t>
  </si>
  <si>
    <t xml:space="preserve">to download the latest version of the generic Up-Flo® Filter Specification from our website. </t>
  </si>
  <si>
    <r>
      <rPr>
        <b/>
        <sz val="10"/>
        <color theme="1" tint="0.14999847407452621"/>
        <rFont val="Arial"/>
        <family val="2"/>
      </rPr>
      <t xml:space="preserve">2. Determine the Up-Flo® Filter model size needed for your project. </t>
    </r>
    <r>
      <rPr>
        <sz val="10"/>
        <color theme="1" tint="0.14999847407452621"/>
        <rFont val="Arial"/>
        <family val="2"/>
      </rPr>
      <t>On the "Step 2 - Sizing" Tab:</t>
    </r>
  </si>
  <si>
    <r>
      <t>User Guide</t>
    </r>
    <r>
      <rPr>
        <u/>
        <sz val="24"/>
        <color theme="8" tint="-0.249977111117893"/>
        <rFont val="Arial"/>
        <family val="2"/>
      </rPr>
      <t xml:space="preserve">                   </t>
    </r>
  </si>
  <si>
    <t>http://ci25.actonsoftware.com/acton/form/2795/0001:d-0001/1/index.htm</t>
  </si>
  <si>
    <r>
      <rPr>
        <b/>
        <sz val="10"/>
        <color theme="1" tint="0.14999847407452621"/>
        <rFont val="Arial"/>
        <family val="2"/>
      </rPr>
      <t>5. Submit your outputs to Hydro International</t>
    </r>
    <r>
      <rPr>
        <sz val="10"/>
        <color theme="1" tint="0.14999847407452621"/>
        <rFont val="Arial"/>
        <family val="2"/>
      </rPr>
      <t>. Upload your saved Excel file and submit for a complimentary design review and price estimate at:</t>
    </r>
  </si>
  <si>
    <r>
      <rPr>
        <b/>
        <sz val="10"/>
        <color theme="1" tint="0.14999847407452621"/>
        <rFont val="Arial"/>
        <family val="2"/>
      </rPr>
      <t>3. Obtain a General Arrangement drawing.</t>
    </r>
    <r>
      <rPr>
        <sz val="10"/>
        <color theme="1" tint="0.14999847407452621"/>
        <rFont val="Arial"/>
        <family val="2"/>
      </rPr>
      <t xml:space="preserve"> Using the Calaculator's recommendation, proceed to the appropriate "Step 3" General Arrangement DWG Worksheet. Contact Hydro International if you need a different drawing. </t>
    </r>
  </si>
  <si>
    <t>Once you have calculated the Up-Flo® Filter model size needed, obtained a GA drawing and gotten a specificaiton,</t>
  </si>
  <si>
    <t>NEED HELP? If you need help at any time, submit an Help Request online at</t>
  </si>
  <si>
    <t>or call our Stormwater office at (207) 756-6200 from 8 AM - 5 PM EST.</t>
  </si>
  <si>
    <t xml:space="preserve">2.  REFER TO SUBMITTAL OR FABRICATION DRAWINGS FOR FINAL RIM AND INVERT ELEVATIONS. </t>
  </si>
  <si>
    <t>2.  REFER TO SUBMITTAL OR FABRICATION DRAWINGS FOR FINAL RIM AND INVERT ELEVATIONS.</t>
  </si>
  <si>
    <t>.</t>
  </si>
  <si>
    <t>Hydro Standard</t>
  </si>
  <si>
    <t>No. modules</t>
  </si>
  <si>
    <t>WQF (cfs)</t>
  </si>
  <si>
    <t>Washington DOE CULD (25 gpm/Filter Module)</t>
  </si>
  <si>
    <t>Metro Nashville Sizing (25 gpm/Filter Module)</t>
  </si>
  <si>
    <t>St. Louis MSD (20 gpm/Filter Module)</t>
  </si>
  <si>
    <t>Metro Nashville</t>
  </si>
  <si>
    <t>Virginia DEQ</t>
  </si>
  <si>
    <t>Flow for user input sizing method-25 gpm</t>
  </si>
  <si>
    <t>20 gpm</t>
  </si>
  <si>
    <t>25 gpm</t>
  </si>
  <si>
    <t>0.045-cfs Modules=</t>
  </si>
  <si>
    <t>20-gpm Modules=</t>
  </si>
  <si>
    <t>0.056-cfs Modules</t>
  </si>
  <si>
    <t>25-gpm Modules</t>
  </si>
  <si>
    <t>0.56 cfs</t>
  </si>
  <si>
    <t>(Nashville, WA)</t>
  </si>
  <si>
    <t>(NJ, Hydro, VDEQ)</t>
  </si>
  <si>
    <t>St. Louis</t>
  </si>
  <si>
    <t>Nash,WA</t>
  </si>
  <si>
    <t>NJ,VA,Hydro</t>
  </si>
  <si>
    <t>.056-cfs Modules</t>
  </si>
  <si>
    <t xml:space="preserve">Flow for user input sizing method </t>
  </si>
  <si>
    <t>New Jersey DEP Certified Sizing (0.056 cfs/Module)</t>
  </si>
  <si>
    <t>Virginia DEQ 80%TSS, 40%TP (0.056 cfs/Module)</t>
  </si>
  <si>
    <t>Hydro Int'l Default Sizing (0.056 cfs/Filter Module)</t>
  </si>
  <si>
    <t>Rim-to-inlet Invert</t>
  </si>
  <si>
    <t>Rim-to-outlet Invert</t>
  </si>
  <si>
    <t>The Downstream Defender Sizing Calculator was released so your valuable user feedback could be collected and incorporated</t>
  </si>
  <si>
    <r>
      <rPr>
        <sz val="18"/>
        <color indexed="21"/>
        <rFont val="Arial"/>
        <family val="2"/>
      </rPr>
      <t>Up-Flo</t>
    </r>
    <r>
      <rPr>
        <vertAlign val="superscript"/>
        <sz val="18"/>
        <color indexed="21"/>
        <rFont val="Arial"/>
        <family val="2"/>
      </rPr>
      <t>®</t>
    </r>
    <r>
      <rPr>
        <sz val="20"/>
        <color indexed="21"/>
        <rFont val="Arial"/>
        <family val="2"/>
      </rPr>
      <t xml:space="preserve"> Filter </t>
    </r>
    <r>
      <rPr>
        <sz val="11"/>
        <color rgb="FF395E85"/>
        <rFont val="Arial"/>
        <family val="2"/>
      </rPr>
      <t xml:space="preserve">Sizing Calculator </t>
    </r>
    <r>
      <rPr>
        <sz val="11"/>
        <color rgb="FFFF00FF"/>
        <rFont val="Arial"/>
        <family val="2"/>
      </rPr>
      <t>v3.0 released April 2015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</si>
</sst>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mmmm\ d\,\ yyyy;@"/>
    <numFmt numFmtId="165" formatCode="0.0"/>
    <numFmt numFmtId="166" formatCode="#,##0.0"/>
    <numFmt numFmtId="167" formatCode="0.000"/>
  </numFmts>
  <fonts count="93" x14ac:knownFonts="1">
    <font>
      <sz val="11"/>
      <color theme="1"/>
      <name val="Calibri"/>
      <family val="2"/>
      <scheme val="minor"/>
    </font>
    <font>
      <b/>
      <sz val="12"/>
      <color indexed="9"/>
      <name val="Calibri"/>
      <family val="2"/>
    </font>
    <font>
      <sz val="11"/>
      <name val="Calibri"/>
      <family val="2"/>
    </font>
    <font>
      <sz val="9"/>
      <name val="Arial"/>
      <family val="2"/>
    </font>
    <font>
      <b/>
      <sz val="14"/>
      <color indexed="8"/>
      <name val="Calibri"/>
      <family val="2"/>
    </font>
    <font>
      <b/>
      <vertAlign val="superscript"/>
      <sz val="14"/>
      <color indexed="8"/>
      <name val="Calibri"/>
      <family val="2"/>
    </font>
    <font>
      <b/>
      <vertAlign val="superscript"/>
      <sz val="11"/>
      <color indexed="8"/>
      <name val="Calibri"/>
      <family val="2"/>
    </font>
    <font>
      <b/>
      <vertAlign val="superscript"/>
      <sz val="12"/>
      <color indexed="9"/>
      <name val="Calibri"/>
      <family val="2"/>
    </font>
    <font>
      <b/>
      <sz val="12"/>
      <name val="Calibri"/>
      <family val="2"/>
    </font>
    <font>
      <b/>
      <vertAlign val="superscript"/>
      <sz val="12"/>
      <name val="Calibri"/>
      <family val="2"/>
    </font>
    <font>
      <b/>
      <sz val="11"/>
      <color indexed="10"/>
      <name val="Calibri"/>
      <family val="2"/>
    </font>
    <font>
      <sz val="18"/>
      <color indexed="21"/>
      <name val="Arial"/>
      <family val="2"/>
    </font>
    <font>
      <vertAlign val="superscript"/>
      <sz val="18"/>
      <color indexed="21"/>
      <name val="Arial"/>
      <family val="2"/>
    </font>
    <font>
      <sz val="20"/>
      <color indexed="21"/>
      <name val="Arial"/>
      <family val="2"/>
    </font>
    <font>
      <sz val="11"/>
      <name val="Arial"/>
      <family val="2"/>
    </font>
    <font>
      <u/>
      <sz val="11"/>
      <color theme="10"/>
      <name val="Calibri"/>
      <family val="2"/>
    </font>
    <font>
      <b/>
      <sz val="12"/>
      <color theme="0"/>
      <name val="Calibri"/>
      <family val="2"/>
    </font>
    <font>
      <b/>
      <sz val="11"/>
      <color theme="1"/>
      <name val="Calibri"/>
      <family val="2"/>
      <scheme val="minor"/>
    </font>
    <font>
      <b/>
      <sz val="11"/>
      <color rgb="FF000000"/>
      <name val="Calibri"/>
      <family val="2"/>
      <scheme val="minor"/>
    </font>
    <font>
      <sz val="11"/>
      <color rgb="FF000000"/>
      <name val="Calibri"/>
      <family val="2"/>
      <scheme val="minor"/>
    </font>
    <font>
      <sz val="12"/>
      <color theme="1"/>
      <name val="Calibri"/>
      <family val="2"/>
      <scheme val="minor"/>
    </font>
    <font>
      <sz val="11"/>
      <name val="Calibri"/>
      <family val="2"/>
      <scheme val="minor"/>
    </font>
    <font>
      <b/>
      <sz val="12"/>
      <color rgb="FF000000"/>
      <name val="Calibri"/>
      <family val="2"/>
    </font>
    <font>
      <b/>
      <sz val="11"/>
      <color rgb="FF000000"/>
      <name val="Calibri"/>
      <family val="2"/>
    </font>
    <font>
      <sz val="11"/>
      <color theme="0" tint="-4.9989318521683403E-2"/>
      <name val="Calibri"/>
      <family val="2"/>
      <scheme val="minor"/>
    </font>
    <font>
      <sz val="11"/>
      <color rgb="FF395E85"/>
      <name val="Arial"/>
      <family val="2"/>
    </font>
    <font>
      <sz val="11"/>
      <color theme="1"/>
      <name val="Arial"/>
      <family val="2"/>
    </font>
    <font>
      <sz val="11"/>
      <color theme="3"/>
      <name val="Arial"/>
      <family val="2"/>
    </font>
    <font>
      <sz val="8"/>
      <color theme="1" tint="0.249977111117893"/>
      <name val="Arial"/>
      <family val="2"/>
    </font>
    <font>
      <b/>
      <sz val="11"/>
      <color rgb="FFFF0000"/>
      <name val="Arial"/>
      <family val="2"/>
    </font>
    <font>
      <sz val="11"/>
      <color rgb="FF395E85"/>
      <name val="Calibri"/>
      <family val="2"/>
      <scheme val="minor"/>
    </font>
    <font>
      <b/>
      <sz val="10"/>
      <color theme="1"/>
      <name val="Arial"/>
      <family val="2"/>
    </font>
    <font>
      <b/>
      <sz val="11"/>
      <color rgb="FFFF0000"/>
      <name val="Calibri"/>
      <family val="2"/>
      <scheme val="minor"/>
    </font>
    <font>
      <b/>
      <sz val="10"/>
      <color rgb="FFFF0000"/>
      <name val="Arial"/>
      <family val="2"/>
    </font>
    <font>
      <sz val="8"/>
      <color rgb="FF395E85"/>
      <name val="Arial"/>
      <family val="2"/>
    </font>
    <font>
      <b/>
      <sz val="10"/>
      <color theme="4"/>
      <name val="Arial"/>
      <family val="2"/>
    </font>
    <font>
      <sz val="6"/>
      <name val="Calibri"/>
      <family val="2"/>
      <scheme val="minor"/>
    </font>
    <font>
      <sz val="11"/>
      <color theme="1" tint="0.249977111117893"/>
      <name val="Arial"/>
      <family val="2"/>
    </font>
    <font>
      <b/>
      <u/>
      <sz val="11"/>
      <name val="Calibri"/>
      <family val="2"/>
      <scheme val="minor"/>
    </font>
    <font>
      <b/>
      <u/>
      <sz val="11"/>
      <color theme="1"/>
      <name val="Calibri"/>
      <family val="2"/>
      <scheme val="minor"/>
    </font>
    <font>
      <b/>
      <sz val="11"/>
      <name val="Calibri"/>
      <family val="2"/>
      <scheme val="minor"/>
    </font>
    <font>
      <sz val="10"/>
      <color theme="1"/>
      <name val="Arial"/>
      <family val="2"/>
    </font>
    <font>
      <b/>
      <sz val="9"/>
      <color theme="1"/>
      <name val="Arial"/>
      <family val="2"/>
    </font>
    <font>
      <sz val="9"/>
      <color theme="1"/>
      <name val="Calibri"/>
      <family val="2"/>
      <scheme val="minor"/>
    </font>
    <font>
      <b/>
      <sz val="11"/>
      <color theme="0"/>
      <name val="Arial"/>
      <family val="2"/>
    </font>
    <font>
      <b/>
      <sz val="14"/>
      <color theme="1"/>
      <name val="Calibri"/>
      <family val="2"/>
      <scheme val="minor"/>
    </font>
    <font>
      <b/>
      <sz val="14"/>
      <color theme="1"/>
      <name val="Arial"/>
      <family val="2"/>
    </font>
    <font>
      <u/>
      <sz val="11"/>
      <color theme="10"/>
      <name val="Arial"/>
      <family val="2"/>
    </font>
    <font>
      <sz val="9"/>
      <color theme="1"/>
      <name val="Arial"/>
      <family val="2"/>
    </font>
    <font>
      <sz val="9"/>
      <color rgb="FF395E85"/>
      <name val="Arial"/>
      <family val="2"/>
    </font>
    <font>
      <sz val="8"/>
      <color theme="1"/>
      <name val="Arial"/>
      <family val="2"/>
    </font>
    <font>
      <sz val="14"/>
      <color rgb="FF395E85"/>
      <name val="Arial"/>
      <family val="2"/>
    </font>
    <font>
      <sz val="10"/>
      <name val="Arial"/>
      <family val="2"/>
    </font>
    <font>
      <sz val="11"/>
      <color theme="0"/>
      <name val="Calibri"/>
      <family val="2"/>
      <scheme val="minor"/>
    </font>
    <font>
      <vertAlign val="superscript"/>
      <sz val="9"/>
      <name val="Calibri"/>
      <family val="2"/>
      <scheme val="minor"/>
    </font>
    <font>
      <vertAlign val="superscript"/>
      <sz val="11"/>
      <name val="Calibri"/>
      <family val="2"/>
      <scheme val="minor"/>
    </font>
    <font>
      <u/>
      <sz val="10"/>
      <color theme="10"/>
      <name val="Arial"/>
      <family val="2"/>
    </font>
    <font>
      <b/>
      <sz val="11"/>
      <color theme="1"/>
      <name val="Arial"/>
      <family val="2"/>
    </font>
    <font>
      <b/>
      <sz val="9"/>
      <color rgb="FF395E85"/>
      <name val="Arial"/>
      <family val="2"/>
    </font>
    <font>
      <u/>
      <sz val="10"/>
      <color theme="8" tint="-0.249977111117893"/>
      <name val="Arial"/>
      <family val="2"/>
    </font>
    <font>
      <b/>
      <sz val="9"/>
      <color theme="4"/>
      <name val="Arial"/>
      <family val="2"/>
    </font>
    <font>
      <b/>
      <sz val="9"/>
      <color theme="4"/>
      <name val="Calibri"/>
      <family val="2"/>
      <scheme val="minor"/>
    </font>
    <font>
      <sz val="9"/>
      <color theme="9" tint="-0.249977111117893"/>
      <name val="Calibri"/>
      <family val="2"/>
      <scheme val="minor"/>
    </font>
    <font>
      <b/>
      <sz val="12"/>
      <color rgb="FFFF0000"/>
      <name val="Arial"/>
      <family val="2"/>
    </font>
    <font>
      <sz val="28"/>
      <color theme="8" tint="-0.249977111117893"/>
      <name val="Arial"/>
      <family val="2"/>
    </font>
    <font>
      <u/>
      <sz val="24"/>
      <color theme="8" tint="-0.249977111117893"/>
      <name val="Arial"/>
      <family val="2"/>
    </font>
    <font>
      <b/>
      <sz val="14"/>
      <color theme="8" tint="-0.249977111117893"/>
      <name val="Arial"/>
      <family val="2"/>
    </font>
    <font>
      <sz val="14"/>
      <color theme="8" tint="-0.249977111117893"/>
      <name val="Arial"/>
      <family val="2"/>
    </font>
    <font>
      <u/>
      <sz val="10"/>
      <color rgb="FF395E85"/>
      <name val="Arial"/>
      <family val="2"/>
    </font>
    <font>
      <sz val="10"/>
      <color theme="1" tint="0.14999847407452621"/>
      <name val="Arial"/>
      <family val="2"/>
    </font>
    <font>
      <u/>
      <sz val="11"/>
      <color rgb="FF395E85"/>
      <name val="Calibri"/>
      <family val="2"/>
    </font>
    <font>
      <sz val="11"/>
      <color theme="8" tint="-0.249977111117893"/>
      <name val="Arial"/>
      <family val="2"/>
    </font>
    <font>
      <sz val="11"/>
      <color theme="8" tint="-0.249977111117893"/>
      <name val="Calibri"/>
      <family val="2"/>
      <scheme val="minor"/>
    </font>
    <font>
      <b/>
      <sz val="10"/>
      <color theme="1" tint="0.14999847407452621"/>
      <name val="Arial"/>
      <family val="2"/>
    </font>
    <font>
      <b/>
      <sz val="10"/>
      <color theme="1" tint="0.249977111117893"/>
      <name val="Arial"/>
      <family val="2"/>
    </font>
    <font>
      <b/>
      <sz val="9"/>
      <color theme="1" tint="0.249977111117893"/>
      <name val="Arial"/>
      <family val="2"/>
    </font>
    <font>
      <sz val="11"/>
      <color theme="1" tint="0.249977111117893"/>
      <name val="Calibri"/>
      <family val="2"/>
      <scheme val="minor"/>
    </font>
    <font>
      <sz val="10"/>
      <color theme="1" tint="0.249977111117893"/>
      <name val="Arial"/>
      <family val="2"/>
    </font>
    <font>
      <b/>
      <sz val="9"/>
      <color rgb="FF6600CC"/>
      <name val="Arial"/>
      <family val="2"/>
    </font>
    <font>
      <sz val="9"/>
      <color rgb="FF6600CC"/>
      <name val="Calibri"/>
      <family val="2"/>
      <scheme val="minor"/>
    </font>
    <font>
      <b/>
      <sz val="14"/>
      <color theme="1" tint="0.249977111117893"/>
      <name val="Arial"/>
      <family val="2"/>
    </font>
    <font>
      <sz val="9"/>
      <color theme="1" tint="0.249977111117893"/>
      <name val="Arial"/>
      <family val="2"/>
    </font>
    <font>
      <b/>
      <sz val="9"/>
      <color theme="1" tint="0.14999847407452621"/>
      <name val="Arial"/>
      <family val="2"/>
    </font>
    <font>
      <sz val="9"/>
      <color theme="1" tint="0.14999847407452621"/>
      <name val="Arial"/>
      <family val="2"/>
    </font>
    <font>
      <b/>
      <sz val="11"/>
      <color theme="1" tint="0.14999847407452621"/>
      <name val="Arial"/>
      <family val="2"/>
    </font>
    <font>
      <b/>
      <sz val="11"/>
      <color rgb="FF0070C0"/>
      <name val="Arial"/>
      <family val="2"/>
    </font>
    <font>
      <sz val="11"/>
      <color rgb="FF0070C0"/>
      <name val="Calibri"/>
      <family val="2"/>
      <scheme val="minor"/>
    </font>
    <font>
      <u/>
      <sz val="10"/>
      <color theme="4" tint="-0.249977111117893"/>
      <name val="Arial"/>
      <family val="2"/>
    </font>
    <font>
      <sz val="11"/>
      <color theme="1" tint="0.499984740745262"/>
      <name val="Calibri"/>
      <family val="2"/>
      <scheme val="minor"/>
    </font>
    <font>
      <sz val="11"/>
      <color theme="0" tint="-0.499984740745262"/>
      <name val="Calibri"/>
      <family val="2"/>
      <scheme val="minor"/>
    </font>
    <font>
      <b/>
      <sz val="11"/>
      <color theme="0" tint="-0.499984740745262"/>
      <name val="Calibri"/>
      <family val="2"/>
      <scheme val="minor"/>
    </font>
    <font>
      <sz val="11"/>
      <color theme="0" tint="-0.499984740745262"/>
      <name val="Calibri"/>
      <family val="2"/>
    </font>
    <font>
      <sz val="11"/>
      <color rgb="FFFF00FF"/>
      <name val="Arial"/>
      <family val="2"/>
    </font>
  </fonts>
  <fills count="9">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8F8F8"/>
        <bgColor indexed="64"/>
      </patternFill>
    </fill>
    <fill>
      <gradientFill type="path" left="0.5" right="0.5" top="0.5" bottom="0.5">
        <stop position="0">
          <color rgb="FFFFFF99"/>
        </stop>
        <stop position="1">
          <color rgb="FFFFFFCC"/>
        </stop>
      </gradientFill>
    </fill>
    <fill>
      <patternFill patternType="solid">
        <fgColor rgb="FFCCFFCC"/>
        <bgColor indexed="64"/>
      </patternFill>
    </fill>
  </fills>
  <borders count="10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rgb="FF395E85"/>
      </bottom>
      <diagonal/>
    </border>
    <border>
      <left style="medium">
        <color rgb="FF395E85"/>
      </left>
      <right/>
      <top style="medium">
        <color rgb="FF395E85"/>
      </top>
      <bottom/>
      <diagonal/>
    </border>
    <border>
      <left/>
      <right/>
      <top style="medium">
        <color rgb="FF395E85"/>
      </top>
      <bottom/>
      <diagonal/>
    </border>
    <border>
      <left/>
      <right style="medium">
        <color rgb="FF395E85"/>
      </right>
      <top style="medium">
        <color rgb="FF395E85"/>
      </top>
      <bottom/>
      <diagonal/>
    </border>
    <border>
      <left style="medium">
        <color rgb="FF395E85"/>
      </left>
      <right/>
      <top/>
      <bottom/>
      <diagonal/>
    </border>
    <border>
      <left/>
      <right style="medium">
        <color rgb="FF395E85"/>
      </right>
      <top/>
      <bottom/>
      <diagonal/>
    </border>
    <border>
      <left style="medium">
        <color rgb="FF395E85"/>
      </left>
      <right/>
      <top/>
      <bottom style="medium">
        <color rgb="FF395E85"/>
      </bottom>
      <diagonal/>
    </border>
    <border>
      <left/>
      <right style="medium">
        <color rgb="FF395E85"/>
      </right>
      <top/>
      <bottom style="medium">
        <color rgb="FF395E85"/>
      </bottom>
      <diagonal/>
    </border>
    <border>
      <left style="medium">
        <color theme="3"/>
      </left>
      <right/>
      <top/>
      <bottom/>
      <diagonal/>
    </border>
    <border>
      <left/>
      <right style="medium">
        <color theme="3"/>
      </right>
      <top/>
      <bottom/>
      <diagonal/>
    </border>
    <border>
      <left/>
      <right/>
      <top/>
      <bottom style="medium">
        <color theme="0" tint="-0.499984740745262"/>
      </bottom>
      <diagonal/>
    </border>
    <border>
      <left/>
      <right/>
      <top/>
      <bottom style="thin">
        <color rgb="FF395E85"/>
      </bottom>
      <diagonal/>
    </border>
    <border>
      <left/>
      <right/>
      <top style="thin">
        <color rgb="FF395E85"/>
      </top>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1" tint="0.34998626667073579"/>
      </left>
      <right style="thin">
        <color theme="0" tint="-0.24994659260841701"/>
      </right>
      <top style="medium">
        <color theme="1" tint="0.34998626667073579"/>
      </top>
      <bottom style="thin">
        <color theme="0" tint="-0.14996795556505021"/>
      </bottom>
      <diagonal/>
    </border>
    <border>
      <left style="medium">
        <color theme="1" tint="0.499984740745262"/>
      </left>
      <right style="thin">
        <color theme="0" tint="-0.24994659260841701"/>
      </right>
      <top style="medium">
        <color theme="1" tint="0.499984740745262"/>
      </top>
      <bottom style="thin">
        <color theme="0" tint="-0.24994659260841701"/>
      </bottom>
      <diagonal/>
    </border>
    <border>
      <left style="medium">
        <color rgb="FF395E85"/>
      </left>
      <right/>
      <top/>
      <bottom style="thin">
        <color theme="0" tint="-0.499984740745262"/>
      </bottom>
      <diagonal/>
    </border>
    <border>
      <left/>
      <right/>
      <top/>
      <bottom style="thin">
        <color theme="0" tint="-0.499984740745262"/>
      </bottom>
      <diagonal/>
    </border>
    <border>
      <left/>
      <right style="medium">
        <color rgb="FF395E85"/>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theme="1" tint="0.34998626667073579"/>
      </left>
      <right/>
      <top style="medium">
        <color theme="1" tint="0.34998626667073579"/>
      </top>
      <bottom style="thin">
        <color theme="0" tint="-0.14996795556505021"/>
      </bottom>
      <diagonal/>
    </border>
    <border>
      <left/>
      <right style="thin">
        <color theme="0" tint="-0.24994659260841701"/>
      </right>
      <top style="medium">
        <color theme="1" tint="0.34998626667073579"/>
      </top>
      <bottom style="thin">
        <color theme="0" tint="-0.14996795556505021"/>
      </bottom>
      <diagonal/>
    </border>
    <border>
      <left style="medium">
        <color theme="0" tint="-0.499984740745262"/>
      </left>
      <right/>
      <top/>
      <bottom/>
      <diagonal/>
    </border>
  </borders>
  <cellStyleXfs count="2">
    <xf numFmtId="0" fontId="0" fillId="0" borderId="0"/>
    <xf numFmtId="0" fontId="15" fillId="0" borderId="0" applyNumberFormat="0" applyFill="0" applyBorder="0" applyAlignment="0" applyProtection="0">
      <alignment vertical="top"/>
      <protection locked="0"/>
    </xf>
  </cellStyleXfs>
  <cellXfs count="472">
    <xf numFmtId="0" fontId="0" fillId="0" borderId="0" xfId="0"/>
    <xf numFmtId="0" fontId="16" fillId="2" borderId="1" xfId="0" applyFont="1" applyFill="1" applyBorder="1" applyAlignment="1">
      <alignment horizontal="center" vertical="center" wrapText="1" readingOrder="1"/>
    </xf>
    <xf numFmtId="0" fontId="0" fillId="3" borderId="0" xfId="0" applyFill="1"/>
    <xf numFmtId="0" fontId="0" fillId="3" borderId="0" xfId="0" applyFill="1" applyBorder="1"/>
    <xf numFmtId="0" fontId="0" fillId="0" borderId="0" xfId="0" applyBorder="1"/>
    <xf numFmtId="0" fontId="0" fillId="0" borderId="2" xfId="0" applyBorder="1" applyAlignment="1">
      <alignment horizontal="center"/>
    </xf>
    <xf numFmtId="0" fontId="0" fillId="0" borderId="0" xfId="0" applyAlignment="1">
      <alignment horizont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7" fillId="0" borderId="6" xfId="0" applyFont="1" applyBorder="1" applyAlignment="1">
      <alignment horizontal="center"/>
    </xf>
    <xf numFmtId="0" fontId="17" fillId="0" borderId="7" xfId="0" applyFont="1" applyBorder="1" applyAlignment="1">
      <alignment horizontal="center"/>
    </xf>
    <xf numFmtId="0" fontId="17" fillId="0" borderId="8" xfId="0" applyFont="1" applyBorder="1" applyAlignment="1">
      <alignment horizontal="center"/>
    </xf>
    <xf numFmtId="0" fontId="18" fillId="0" borderId="8" xfId="0" applyFont="1" applyBorder="1" applyAlignment="1">
      <alignment horizontal="center"/>
    </xf>
    <xf numFmtId="0" fontId="17" fillId="0" borderId="9"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65" fontId="0" fillId="0" borderId="12" xfId="0" applyNumberFormat="1" applyBorder="1" applyAlignment="1">
      <alignment horizontal="center"/>
    </xf>
    <xf numFmtId="0" fontId="0" fillId="0" borderId="12" xfId="0" applyBorder="1" applyAlignment="1">
      <alignment horizontal="center"/>
    </xf>
    <xf numFmtId="0" fontId="19" fillId="0" borderId="12" xfId="0" applyFont="1" applyBorder="1" applyAlignment="1">
      <alignment horizontal="center"/>
    </xf>
    <xf numFmtId="0" fontId="0" fillId="0" borderId="14" xfId="0" applyBorder="1" applyAlignment="1">
      <alignment horizontal="center"/>
    </xf>
    <xf numFmtId="165" fontId="0" fillId="0" borderId="2" xfId="0" applyNumberFormat="1" applyBorder="1" applyAlignment="1">
      <alignment horizontal="center"/>
    </xf>
    <xf numFmtId="0" fontId="19" fillId="0" borderId="2" xfId="0" applyFont="1" applyBorder="1" applyAlignment="1">
      <alignment horizontal="center"/>
    </xf>
    <xf numFmtId="3" fontId="0" fillId="0" borderId="2"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5" fontId="0" fillId="0" borderId="18" xfId="0" applyNumberFormat="1" applyBorder="1" applyAlignment="1">
      <alignment horizontal="center"/>
    </xf>
    <xf numFmtId="3" fontId="0" fillId="0" borderId="18" xfId="0" applyNumberFormat="1" applyBorder="1" applyAlignment="1">
      <alignment horizontal="center"/>
    </xf>
    <xf numFmtId="0" fontId="20" fillId="0" borderId="21" xfId="0" applyFont="1" applyBorder="1"/>
    <xf numFmtId="0" fontId="20" fillId="0" borderId="21" xfId="0" applyFont="1" applyBorder="1" applyAlignment="1">
      <alignment horizontal="center"/>
    </xf>
    <xf numFmtId="0" fontId="20" fillId="0" borderId="15" xfId="0" applyFont="1" applyBorder="1" applyAlignment="1">
      <alignment horizontal="center"/>
    </xf>
    <xf numFmtId="0" fontId="20" fillId="0" borderId="2" xfId="0" applyFont="1" applyBorder="1" applyAlignment="1">
      <alignment horizontal="center"/>
    </xf>
    <xf numFmtId="0" fontId="20" fillId="0" borderId="20" xfId="0" applyFont="1" applyBorder="1" applyAlignment="1">
      <alignment horizontal="center"/>
    </xf>
    <xf numFmtId="165" fontId="20" fillId="0" borderId="15" xfId="0" applyNumberFormat="1" applyFont="1" applyBorder="1" applyAlignment="1">
      <alignment horizontal="center"/>
    </xf>
    <xf numFmtId="165" fontId="20" fillId="0" borderId="2" xfId="0" applyNumberFormat="1" applyFont="1" applyBorder="1" applyAlignment="1">
      <alignment horizontal="center"/>
    </xf>
    <xf numFmtId="1" fontId="20" fillId="0" borderId="2" xfId="0" applyNumberFormat="1" applyFont="1" applyBorder="1" applyAlignment="1">
      <alignment horizontal="center"/>
    </xf>
    <xf numFmtId="1" fontId="20" fillId="0" borderId="20" xfId="0" applyNumberFormat="1" applyFont="1" applyBorder="1" applyAlignment="1">
      <alignment horizontal="center"/>
    </xf>
    <xf numFmtId="0" fontId="20" fillId="0" borderId="22" xfId="0" applyFont="1" applyBorder="1" applyAlignment="1">
      <alignment horizontal="center"/>
    </xf>
    <xf numFmtId="165" fontId="20" fillId="0" borderId="23" xfId="0" applyNumberFormat="1" applyFont="1" applyBorder="1" applyAlignment="1">
      <alignment horizontal="center"/>
    </xf>
    <xf numFmtId="165" fontId="20" fillId="0" borderId="24" xfId="0" applyNumberFormat="1" applyFont="1" applyBorder="1" applyAlignment="1">
      <alignment horizontal="center"/>
    </xf>
    <xf numFmtId="1" fontId="20" fillId="0" borderId="24" xfId="0" applyNumberFormat="1" applyFont="1" applyBorder="1" applyAlignment="1">
      <alignment horizontal="center"/>
    </xf>
    <xf numFmtId="1" fontId="20" fillId="0" borderId="25" xfId="0" applyNumberFormat="1" applyFont="1" applyBorder="1" applyAlignment="1">
      <alignment horizontal="center"/>
    </xf>
    <xf numFmtId="0" fontId="0" fillId="0" borderId="0" xfId="0" applyFill="1" applyBorder="1" applyAlignment="1">
      <alignment horizontal="center"/>
    </xf>
    <xf numFmtId="165" fontId="0" fillId="0" borderId="0" xfId="0" applyNumberFormat="1" applyFill="1" applyBorder="1" applyAlignment="1">
      <alignment horizontal="center"/>
    </xf>
    <xf numFmtId="0" fontId="0" fillId="0" borderId="0" xfId="0" applyAlignment="1">
      <alignment horizontal="right"/>
    </xf>
    <xf numFmtId="2" fontId="0" fillId="0" borderId="12" xfId="0" applyNumberFormat="1" applyBorder="1" applyAlignment="1">
      <alignment horizontal="center"/>
    </xf>
    <xf numFmtId="2" fontId="0" fillId="0" borderId="2" xfId="0" applyNumberFormat="1" applyBorder="1" applyAlignment="1">
      <alignment horizontal="center"/>
    </xf>
    <xf numFmtId="2" fontId="0" fillId="0" borderId="18" xfId="0" applyNumberFormat="1" applyBorder="1" applyAlignment="1">
      <alignment horizontal="center"/>
    </xf>
    <xf numFmtId="0" fontId="8" fillId="0" borderId="2" xfId="0" applyFont="1" applyFill="1" applyBorder="1" applyAlignment="1">
      <alignment horizontal="center" vertical="center" wrapText="1" readingOrder="1"/>
    </xf>
    <xf numFmtId="0" fontId="21" fillId="0" borderId="0" xfId="0" applyFont="1" applyFill="1"/>
    <xf numFmtId="0" fontId="22" fillId="0" borderId="2" xfId="0" applyFont="1" applyBorder="1" applyAlignment="1">
      <alignment horizontal="center" wrapText="1" readingOrder="1"/>
    </xf>
    <xf numFmtId="0" fontId="22" fillId="0" borderId="26" xfId="0" applyFont="1" applyFill="1" applyBorder="1" applyAlignment="1">
      <alignment horizontal="center" wrapText="1" readingOrder="1"/>
    </xf>
    <xf numFmtId="1" fontId="22" fillId="0" borderId="2" xfId="0" applyNumberFormat="1" applyFont="1" applyBorder="1" applyAlignment="1">
      <alignment horizontal="center" wrapText="1" readingOrder="1"/>
    </xf>
    <xf numFmtId="2" fontId="23" fillId="0" borderId="2" xfId="0" applyNumberFormat="1" applyFont="1" applyBorder="1" applyAlignment="1">
      <alignment horizontal="center" wrapText="1"/>
    </xf>
    <xf numFmtId="165" fontId="17" fillId="0" borderId="2" xfId="0" applyNumberFormat="1" applyFont="1" applyBorder="1" applyAlignment="1">
      <alignment horizontal="center"/>
    </xf>
    <xf numFmtId="1" fontId="17" fillId="0" borderId="2" xfId="0" applyNumberFormat="1" applyFont="1" applyFill="1" applyBorder="1" applyAlignment="1">
      <alignment horizontal="center"/>
    </xf>
    <xf numFmtId="2" fontId="17" fillId="0" borderId="2" xfId="0" applyNumberFormat="1" applyFont="1" applyBorder="1" applyAlignment="1">
      <alignment horizontal="center"/>
    </xf>
    <xf numFmtId="165" fontId="17" fillId="0" borderId="2" xfId="0" applyNumberFormat="1" applyFont="1" applyBorder="1" applyAlignment="1">
      <alignment horizontal="center" vertical="center"/>
    </xf>
    <xf numFmtId="165" fontId="0" fillId="0" borderId="0" xfId="0" applyNumberFormat="1"/>
    <xf numFmtId="0" fontId="23" fillId="0" borderId="2" xfId="0" applyFont="1" applyBorder="1" applyAlignment="1">
      <alignment horizontal="center" wrapText="1"/>
    </xf>
    <xf numFmtId="0" fontId="17" fillId="0" borderId="2" xfId="0" applyFont="1" applyBorder="1" applyAlignment="1">
      <alignment horizontal="center"/>
    </xf>
    <xf numFmtId="0" fontId="17" fillId="0" borderId="2" xfId="0" applyFont="1" applyFill="1" applyBorder="1" applyAlignment="1">
      <alignment horizontal="center"/>
    </xf>
    <xf numFmtId="1" fontId="17" fillId="0" borderId="2" xfId="0" applyNumberFormat="1" applyFont="1" applyBorder="1" applyAlignment="1">
      <alignment horizontal="center" vertical="center"/>
    </xf>
    <xf numFmtId="0" fontId="22" fillId="0" borderId="2" xfId="0" applyFont="1" applyBorder="1" applyAlignment="1">
      <alignment horizontal="center" vertical="center" wrapText="1" readingOrder="1"/>
    </xf>
    <xf numFmtId="165" fontId="23" fillId="0" borderId="2" xfId="0" applyNumberFormat="1" applyFont="1" applyBorder="1" applyAlignment="1">
      <alignment horizontal="center" vertical="center" wrapText="1"/>
    </xf>
    <xf numFmtId="0" fontId="17" fillId="0" borderId="2" xfId="0" applyFont="1" applyBorder="1" applyAlignment="1">
      <alignment horizontal="center" vertical="center"/>
    </xf>
    <xf numFmtId="0" fontId="17" fillId="0" borderId="2" xfId="0" applyFont="1" applyFill="1" applyBorder="1" applyAlignment="1">
      <alignment horizontal="center" vertical="center"/>
    </xf>
    <xf numFmtId="0" fontId="0" fillId="0" borderId="0" xfId="0" applyAlignment="1">
      <alignment vertical="center"/>
    </xf>
    <xf numFmtId="2" fontId="0" fillId="0" borderId="0" xfId="0" applyNumberFormat="1"/>
    <xf numFmtId="0" fontId="0" fillId="0" borderId="27" xfId="0" applyBorder="1"/>
    <xf numFmtId="0" fontId="0" fillId="0" borderId="28" xfId="0"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17" fillId="0" borderId="2" xfId="0" applyFont="1" applyBorder="1"/>
    <xf numFmtId="0" fontId="0" fillId="0" borderId="30" xfId="0" applyFont="1" applyBorder="1" applyAlignment="1">
      <alignment horizontal="center"/>
    </xf>
    <xf numFmtId="0" fontId="0" fillId="0" borderId="2" xfId="0" applyFont="1" applyBorder="1" applyAlignment="1">
      <alignment horizontal="center"/>
    </xf>
    <xf numFmtId="165" fontId="0" fillId="0" borderId="2" xfId="0" applyNumberFormat="1" applyFont="1" applyBorder="1" applyAlignment="1">
      <alignment horizontal="center"/>
    </xf>
    <xf numFmtId="0" fontId="0" fillId="0" borderId="31" xfId="0" applyFont="1" applyBorder="1" applyAlignment="1">
      <alignment horizontal="center"/>
    </xf>
    <xf numFmtId="0" fontId="0" fillId="0" borderId="24" xfId="0" applyFont="1" applyBorder="1" applyAlignment="1">
      <alignment horizontal="center"/>
    </xf>
    <xf numFmtId="0" fontId="0" fillId="0" borderId="27" xfId="0" applyFont="1" applyBorder="1" applyAlignment="1">
      <alignment horizontal="center"/>
    </xf>
    <xf numFmtId="2" fontId="0" fillId="0" borderId="29" xfId="0" applyNumberFormat="1" applyBorder="1"/>
    <xf numFmtId="2" fontId="0" fillId="0" borderId="20" xfId="0" applyNumberFormat="1" applyBorder="1"/>
    <xf numFmtId="2" fontId="0" fillId="0" borderId="25" xfId="0" applyNumberFormat="1" applyBorder="1" applyAlignment="1">
      <alignment horizontal="center"/>
    </xf>
    <xf numFmtId="0" fontId="21" fillId="4" borderId="0" xfId="0" applyFont="1" applyFill="1"/>
    <xf numFmtId="0" fontId="21" fillId="0" borderId="0" xfId="0" applyFont="1"/>
    <xf numFmtId="0" fontId="21" fillId="3" borderId="0" xfId="0" applyFont="1" applyFill="1"/>
    <xf numFmtId="0" fontId="24" fillId="4" borderId="0" xfId="0" applyFont="1" applyFill="1"/>
    <xf numFmtId="0" fontId="0" fillId="4" borderId="0" xfId="0" applyFont="1" applyFill="1"/>
    <xf numFmtId="0" fontId="0" fillId="4" borderId="0" xfId="0" applyFill="1" applyAlignment="1" applyProtection="1"/>
    <xf numFmtId="0" fontId="24" fillId="4" borderId="0" xfId="0" applyFont="1" applyFill="1" applyProtection="1"/>
    <xf numFmtId="0" fontId="0" fillId="0" borderId="0" xfId="0" applyProtection="1"/>
    <xf numFmtId="0" fontId="0" fillId="4" borderId="0" xfId="0" applyFill="1" applyProtection="1"/>
    <xf numFmtId="0" fontId="0" fillId="3" borderId="72" xfId="0" applyFill="1" applyBorder="1" applyProtection="1"/>
    <xf numFmtId="164" fontId="3" fillId="3" borderId="0" xfId="0" applyNumberFormat="1" applyFont="1" applyFill="1" applyBorder="1" applyAlignment="1" applyProtection="1">
      <alignment horizontal="left"/>
    </xf>
    <xf numFmtId="0" fontId="0" fillId="3" borderId="0" xfId="0" applyFill="1" applyProtection="1"/>
    <xf numFmtId="0" fontId="26" fillId="3" borderId="73" xfId="0" applyFont="1" applyFill="1" applyBorder="1" applyProtection="1"/>
    <xf numFmtId="0" fontId="0" fillId="3" borderId="0" xfId="0" applyFill="1" applyBorder="1" applyProtection="1"/>
    <xf numFmtId="0" fontId="0" fillId="3" borderId="73" xfId="0" applyFill="1" applyBorder="1" applyProtection="1"/>
    <xf numFmtId="0" fontId="0" fillId="3" borderId="74" xfId="0" applyFill="1" applyBorder="1" applyAlignment="1" applyProtection="1"/>
    <xf numFmtId="0" fontId="0" fillId="3" borderId="0" xfId="0" applyFill="1" applyBorder="1" applyAlignment="1" applyProtection="1"/>
    <xf numFmtId="0" fontId="26" fillId="3" borderId="73" xfId="0" applyFont="1" applyFill="1" applyBorder="1" applyAlignment="1" applyProtection="1">
      <alignment wrapText="1"/>
    </xf>
    <xf numFmtId="0" fontId="0" fillId="3" borderId="75" xfId="0" applyFill="1" applyBorder="1" applyProtection="1"/>
    <xf numFmtId="0" fontId="28" fillId="3" borderId="73" xfId="0" applyFont="1" applyFill="1" applyBorder="1" applyAlignment="1" applyProtection="1">
      <alignment vertical="top" wrapText="1"/>
    </xf>
    <xf numFmtId="0" fontId="0" fillId="3" borderId="76" xfId="0" applyFill="1" applyBorder="1" applyAlignment="1" applyProtection="1"/>
    <xf numFmtId="0" fontId="29" fillId="3" borderId="0" xfId="0" applyFont="1" applyFill="1" applyBorder="1" applyAlignment="1" applyProtection="1"/>
    <xf numFmtId="0" fontId="30" fillId="3" borderId="73" xfId="0" applyFont="1" applyFill="1" applyBorder="1" applyAlignment="1" applyProtection="1">
      <alignment vertical="top" wrapText="1"/>
    </xf>
    <xf numFmtId="0" fontId="0" fillId="3" borderId="0" xfId="0" applyFill="1" applyAlignment="1" applyProtection="1"/>
    <xf numFmtId="0" fontId="26" fillId="3" borderId="0" xfId="0" applyFont="1" applyFill="1" applyBorder="1" applyProtection="1"/>
    <xf numFmtId="0" fontId="32" fillId="3" borderId="0" xfId="0" applyFont="1" applyFill="1" applyBorder="1" applyAlignment="1" applyProtection="1">
      <alignment horizontal="center"/>
    </xf>
    <xf numFmtId="0" fontId="33" fillId="3" borderId="0" xfId="0" applyFont="1" applyFill="1" applyBorder="1" applyAlignment="1" applyProtection="1">
      <alignment horizontal="center"/>
    </xf>
    <xf numFmtId="0" fontId="33" fillId="3" borderId="0" xfId="0" applyFont="1" applyFill="1" applyAlignment="1" applyProtection="1">
      <alignment horizontal="center"/>
    </xf>
    <xf numFmtId="0" fontId="27" fillId="3" borderId="0" xfId="0" applyFont="1" applyFill="1" applyBorder="1" applyAlignment="1" applyProtection="1">
      <alignment horizontal="left" vertical="center"/>
    </xf>
    <xf numFmtId="0" fontId="34" fillId="3" borderId="76" xfId="0" applyFont="1" applyFill="1" applyBorder="1" applyAlignment="1" applyProtection="1">
      <alignment vertical="top"/>
    </xf>
    <xf numFmtId="0" fontId="0" fillId="3" borderId="0" xfId="0" applyFill="1" applyBorder="1" applyAlignment="1" applyProtection="1">
      <alignment vertical="top"/>
    </xf>
    <xf numFmtId="0" fontId="29" fillId="4" borderId="0" xfId="0" applyFont="1" applyFill="1" applyAlignment="1" applyProtection="1"/>
    <xf numFmtId="0" fontId="0" fillId="3" borderId="0" xfId="0" applyFill="1" applyBorder="1" applyAlignment="1" applyProtection="1"/>
    <xf numFmtId="0" fontId="21" fillId="4" borderId="0" xfId="0" applyFont="1" applyFill="1" applyProtection="1"/>
    <xf numFmtId="14" fontId="21" fillId="4" borderId="0" xfId="0" applyNumberFormat="1" applyFont="1" applyFill="1" applyProtection="1"/>
    <xf numFmtId="1" fontId="21" fillId="4" borderId="0" xfId="0" applyNumberFormat="1" applyFont="1" applyFill="1" applyProtection="1"/>
    <xf numFmtId="0" fontId="21" fillId="4" borderId="0" xfId="0" applyFont="1" applyFill="1" applyBorder="1" applyProtection="1"/>
    <xf numFmtId="1" fontId="21" fillId="4" borderId="0" xfId="0" applyNumberFormat="1" applyFont="1" applyFill="1" applyBorder="1" applyProtection="1"/>
    <xf numFmtId="2" fontId="21" fillId="4" borderId="0" xfId="0" applyNumberFormat="1" applyFont="1" applyFill="1" applyBorder="1" applyProtection="1"/>
    <xf numFmtId="0" fontId="21" fillId="4" borderId="0" xfId="0" applyFont="1" applyFill="1" applyBorder="1" applyAlignment="1" applyProtection="1">
      <alignment horizontal="right"/>
    </xf>
    <xf numFmtId="0" fontId="36" fillId="4" borderId="0" xfId="0" applyFont="1" applyFill="1" applyBorder="1" applyAlignment="1" applyProtection="1">
      <alignment wrapText="1"/>
    </xf>
    <xf numFmtId="0" fontId="21" fillId="4" borderId="0" xfId="0" applyFont="1" applyFill="1" applyAlignment="1" applyProtection="1">
      <alignment horizontal="left" wrapText="1"/>
    </xf>
    <xf numFmtId="0" fontId="14" fillId="4" borderId="0" xfId="0" applyFont="1" applyFill="1" applyBorder="1" applyProtection="1"/>
    <xf numFmtId="0" fontId="21" fillId="4" borderId="0" xfId="0" applyFont="1" applyFill="1" applyAlignment="1" applyProtection="1">
      <alignment wrapText="1"/>
    </xf>
    <xf numFmtId="0" fontId="21" fillId="4" borderId="0" xfId="0" applyFont="1" applyFill="1" applyAlignment="1" applyProtection="1">
      <alignment horizontal="right"/>
    </xf>
    <xf numFmtId="9" fontId="21" fillId="4" borderId="0" xfId="0" applyNumberFormat="1" applyFont="1" applyFill="1" applyProtection="1"/>
    <xf numFmtId="0" fontId="21" fillId="4" borderId="0" xfId="0" applyNumberFormat="1" applyFont="1" applyFill="1" applyProtection="1"/>
    <xf numFmtId="9" fontId="21" fillId="4" borderId="0" xfId="0" applyNumberFormat="1" applyFont="1" applyFill="1" applyAlignment="1" applyProtection="1">
      <alignment wrapText="1"/>
    </xf>
    <xf numFmtId="0" fontId="21" fillId="4" borderId="0" xfId="0" applyFont="1" applyFill="1" applyBorder="1" applyAlignment="1" applyProtection="1">
      <alignment horizontal="center"/>
    </xf>
    <xf numFmtId="0" fontId="37" fillId="3" borderId="73" xfId="0" quotePrefix="1" applyFont="1" applyFill="1" applyBorder="1" applyAlignment="1" applyProtection="1">
      <alignment horizontal="left" vertical="center" wrapText="1"/>
    </xf>
    <xf numFmtId="0" fontId="37" fillId="3" borderId="73" xfId="0" quotePrefix="1" applyFont="1" applyFill="1" applyBorder="1" applyAlignment="1" applyProtection="1">
      <alignment horizontal="left" vertical="top" wrapText="1"/>
    </xf>
    <xf numFmtId="0" fontId="0" fillId="4" borderId="0" xfId="0" applyFont="1" applyFill="1" applyAlignment="1">
      <alignment horizontal="right"/>
    </xf>
    <xf numFmtId="0" fontId="0" fillId="4" borderId="0" xfId="0" quotePrefix="1" applyFont="1" applyFill="1"/>
    <xf numFmtId="2" fontId="0" fillId="4" borderId="0" xfId="0" applyNumberFormat="1" applyFont="1" applyFill="1" applyAlignment="1">
      <alignment horizontal="right"/>
    </xf>
    <xf numFmtId="3" fontId="0" fillId="4" borderId="0" xfId="0" applyNumberFormat="1" applyFont="1" applyFill="1" applyAlignment="1">
      <alignment horizontal="right"/>
    </xf>
    <xf numFmtId="2" fontId="0" fillId="4" borderId="0" xfId="0" applyNumberFormat="1" applyFont="1" applyFill="1"/>
    <xf numFmtId="0" fontId="21" fillId="4" borderId="0" xfId="0" applyFont="1" applyFill="1" applyAlignment="1" applyProtection="1">
      <alignment horizontal="center"/>
    </xf>
    <xf numFmtId="0" fontId="29" fillId="3" borderId="0" xfId="0" applyFont="1" applyFill="1" applyBorder="1" applyAlignment="1" applyProtection="1">
      <alignment horizontal="left" vertical="center"/>
    </xf>
    <xf numFmtId="0" fontId="32" fillId="3" borderId="0" xfId="0" applyFont="1" applyFill="1" applyProtection="1"/>
    <xf numFmtId="0" fontId="38" fillId="4" borderId="0" xfId="0" applyFont="1" applyFill="1" applyProtection="1"/>
    <xf numFmtId="0" fontId="21" fillId="4" borderId="35" xfId="0" applyFont="1" applyFill="1" applyBorder="1" applyProtection="1"/>
    <xf numFmtId="0" fontId="17" fillId="3" borderId="0" xfId="0" applyFont="1" applyFill="1"/>
    <xf numFmtId="0" fontId="39" fillId="3" borderId="0" xfId="0" applyFont="1" applyFill="1"/>
    <xf numFmtId="0" fontId="0" fillId="3" borderId="0" xfId="0" applyFont="1" applyFill="1"/>
    <xf numFmtId="0" fontId="17" fillId="3" borderId="0" xfId="0" applyFont="1" applyFill="1" applyAlignment="1">
      <alignment horizontal="left"/>
    </xf>
    <xf numFmtId="0" fontId="0" fillId="3" borderId="0" xfId="0" applyFont="1" applyFill="1" applyAlignment="1"/>
    <xf numFmtId="0" fontId="21" fillId="5" borderId="0" xfId="0" applyFont="1" applyFill="1"/>
    <xf numFmtId="0" fontId="46" fillId="3" borderId="0" xfId="0" applyFont="1" applyFill="1"/>
    <xf numFmtId="0" fontId="26" fillId="3" borderId="0" xfId="0" applyFont="1" applyFill="1"/>
    <xf numFmtId="0" fontId="47" fillId="3" borderId="0" xfId="1" applyFont="1" applyFill="1" applyAlignment="1" applyProtection="1"/>
    <xf numFmtId="0" fontId="14" fillId="3" borderId="0" xfId="1" applyFont="1" applyFill="1" applyAlignment="1" applyProtection="1"/>
    <xf numFmtId="0" fontId="0" fillId="3" borderId="72" xfId="0" applyFill="1" applyBorder="1"/>
    <xf numFmtId="0" fontId="0" fillId="3" borderId="73" xfId="0" applyFill="1" applyBorder="1"/>
    <xf numFmtId="0" fontId="0" fillId="3" borderId="89" xfId="0" applyFill="1" applyBorder="1"/>
    <xf numFmtId="0" fontId="0" fillId="3" borderId="90" xfId="0" applyFill="1" applyBorder="1"/>
    <xf numFmtId="0" fontId="0" fillId="3" borderId="91" xfId="0" applyFill="1" applyBorder="1"/>
    <xf numFmtId="0" fontId="48" fillId="3" borderId="0" xfId="0" applyFont="1" applyFill="1" applyBorder="1" applyAlignment="1" applyProtection="1">
      <alignment vertical="center" wrapText="1"/>
    </xf>
    <xf numFmtId="0" fontId="26" fillId="3" borderId="0" xfId="0" applyFont="1" applyFill="1" applyBorder="1"/>
    <xf numFmtId="0" fontId="48" fillId="3" borderId="0" xfId="0" applyFont="1" applyFill="1" applyBorder="1" applyAlignment="1" applyProtection="1">
      <alignment vertical="center"/>
    </xf>
    <xf numFmtId="0" fontId="48" fillId="3" borderId="72" xfId="0" applyFont="1" applyFill="1" applyBorder="1" applyAlignment="1" applyProtection="1"/>
    <xf numFmtId="0" fontId="49" fillId="3" borderId="0" xfId="0" applyFont="1" applyFill="1" applyBorder="1" applyAlignment="1" applyProtection="1">
      <alignment horizontal="right" vertical="center"/>
    </xf>
    <xf numFmtId="14" fontId="49" fillId="3" borderId="73" xfId="0" applyNumberFormat="1" applyFont="1" applyFill="1" applyBorder="1" applyAlignment="1" applyProtection="1">
      <alignment horizontal="right" vertical="center"/>
    </xf>
    <xf numFmtId="0" fontId="48" fillId="0" borderId="0" xfId="0" applyFont="1" applyAlignment="1"/>
    <xf numFmtId="0" fontId="48" fillId="3" borderId="0" xfId="0" applyFont="1" applyFill="1" applyBorder="1"/>
    <xf numFmtId="0" fontId="48" fillId="3" borderId="0" xfId="0" applyFont="1" applyFill="1" applyBorder="1" applyAlignment="1" applyProtection="1"/>
    <xf numFmtId="0" fontId="48" fillId="3" borderId="0" xfId="0" applyFont="1" applyFill="1" applyBorder="1" applyAlignment="1"/>
    <xf numFmtId="0" fontId="48" fillId="0" borderId="73" xfId="0" applyFont="1" applyBorder="1" applyAlignment="1">
      <alignment vertical="center"/>
    </xf>
    <xf numFmtId="0" fontId="48" fillId="3" borderId="0" xfId="0" applyFont="1" applyFill="1" applyAlignment="1"/>
    <xf numFmtId="0" fontId="48" fillId="3" borderId="72" xfId="0" applyFont="1" applyFill="1" applyBorder="1"/>
    <xf numFmtId="0" fontId="48" fillId="3" borderId="73" xfId="0" applyFont="1" applyFill="1" applyBorder="1"/>
    <xf numFmtId="0" fontId="48" fillId="3" borderId="0" xfId="0" applyFont="1" applyFill="1"/>
    <xf numFmtId="0" fontId="42" fillId="3" borderId="0" xfId="0" applyFont="1" applyFill="1" applyBorder="1"/>
    <xf numFmtId="0" fontId="0" fillId="6" borderId="0" xfId="0" applyFill="1"/>
    <xf numFmtId="0" fontId="48" fillId="6" borderId="0" xfId="0" applyFont="1" applyFill="1" applyAlignment="1"/>
    <xf numFmtId="0" fontId="48" fillId="6" borderId="0" xfId="0" applyFont="1" applyFill="1"/>
    <xf numFmtId="0" fontId="50" fillId="3" borderId="0" xfId="0" applyFont="1" applyFill="1" applyBorder="1"/>
    <xf numFmtId="0" fontId="26" fillId="3" borderId="65" xfId="0" applyFont="1" applyFill="1" applyBorder="1"/>
    <xf numFmtId="0" fontId="26" fillId="3" borderId="66" xfId="0" applyFont="1" applyFill="1" applyBorder="1"/>
    <xf numFmtId="0" fontId="26" fillId="3" borderId="67" xfId="0" applyFont="1" applyFill="1" applyBorder="1"/>
    <xf numFmtId="0" fontId="26" fillId="4" borderId="0" xfId="0" applyFont="1" applyFill="1"/>
    <xf numFmtId="0" fontId="26" fillId="3" borderId="68" xfId="0" applyFont="1" applyFill="1" applyBorder="1"/>
    <xf numFmtId="0" fontId="26" fillId="3" borderId="69" xfId="0" applyFont="1" applyFill="1" applyBorder="1"/>
    <xf numFmtId="0" fontId="26" fillId="3" borderId="64" xfId="0" applyFont="1" applyFill="1" applyBorder="1"/>
    <xf numFmtId="0" fontId="26" fillId="3" borderId="71" xfId="0" applyFont="1" applyFill="1" applyBorder="1"/>
    <xf numFmtId="0" fontId="51" fillId="4" borderId="0" xfId="0" applyFont="1" applyFill="1"/>
    <xf numFmtId="0" fontId="51" fillId="0" borderId="0" xfId="0" applyFont="1"/>
    <xf numFmtId="0" fontId="26" fillId="0" borderId="0" xfId="0" applyFont="1"/>
    <xf numFmtId="0" fontId="26" fillId="3" borderId="70" xfId="0" applyFont="1" applyFill="1" applyBorder="1"/>
    <xf numFmtId="0" fontId="41" fillId="3" borderId="68" xfId="0" applyFont="1" applyFill="1" applyBorder="1"/>
    <xf numFmtId="0" fontId="41" fillId="3" borderId="0" xfId="0" applyFont="1" applyFill="1" applyBorder="1"/>
    <xf numFmtId="0" fontId="41" fillId="3" borderId="69" xfId="0" applyFont="1" applyFill="1" applyBorder="1"/>
    <xf numFmtId="0" fontId="41" fillId="4" borderId="0" xfId="0" applyFont="1" applyFill="1"/>
    <xf numFmtId="0" fontId="41" fillId="0" borderId="0" xfId="0" applyFont="1"/>
    <xf numFmtId="0" fontId="41" fillId="4" borderId="0" xfId="0" applyFont="1" applyFill="1" applyBorder="1"/>
    <xf numFmtId="0" fontId="41" fillId="0" borderId="0" xfId="0" applyFont="1" applyBorder="1"/>
    <xf numFmtId="0" fontId="13" fillId="3" borderId="68" xfId="0" applyFont="1" applyFill="1" applyBorder="1"/>
    <xf numFmtId="0" fontId="53" fillId="3" borderId="0" xfId="0" applyFont="1" applyFill="1"/>
    <xf numFmtId="0" fontId="53" fillId="3" borderId="0" xfId="0" applyFont="1" applyFill="1" applyBorder="1"/>
    <xf numFmtId="0" fontId="21" fillId="3" borderId="30" xfId="0" applyFont="1" applyFill="1" applyBorder="1" applyAlignment="1">
      <alignment horizontal="center" vertical="center"/>
    </xf>
    <xf numFmtId="0" fontId="21" fillId="3" borderId="2" xfId="0" applyFont="1" applyFill="1" applyBorder="1" applyAlignment="1">
      <alignment horizontal="center" vertical="center" wrapText="1"/>
    </xf>
    <xf numFmtId="0" fontId="21" fillId="3" borderId="2" xfId="0" applyFont="1" applyFill="1" applyBorder="1" applyAlignment="1">
      <alignment horizontal="center" vertical="center"/>
    </xf>
    <xf numFmtId="0" fontId="21" fillId="3" borderId="20" xfId="0" applyFont="1" applyFill="1" applyBorder="1" applyAlignment="1">
      <alignment horizontal="center" vertical="center" wrapText="1"/>
    </xf>
    <xf numFmtId="0" fontId="21" fillId="3" borderId="20" xfId="0" applyFont="1" applyFill="1" applyBorder="1" applyAlignment="1">
      <alignment horizontal="center" vertical="center"/>
    </xf>
    <xf numFmtId="3" fontId="21" fillId="3" borderId="2" xfId="0" applyNumberFormat="1" applyFont="1" applyFill="1" applyBorder="1" applyAlignment="1">
      <alignment horizontal="center" vertical="center"/>
    </xf>
    <xf numFmtId="3" fontId="21" fillId="3" borderId="20" xfId="0" applyNumberFormat="1" applyFont="1" applyFill="1" applyBorder="1" applyAlignment="1">
      <alignment horizontal="center" vertical="center"/>
    </xf>
    <xf numFmtId="0" fontId="21" fillId="3" borderId="101" xfId="0" applyFont="1" applyFill="1" applyBorder="1" applyAlignment="1">
      <alignment horizontal="center" vertical="center"/>
    </xf>
    <xf numFmtId="0" fontId="21" fillId="3" borderId="1" xfId="0" applyFont="1" applyFill="1" applyBorder="1" applyAlignment="1">
      <alignment horizontal="center" vertical="center"/>
    </xf>
    <xf numFmtId="3" fontId="21" fillId="3" borderId="1" xfId="0" applyNumberFormat="1" applyFont="1" applyFill="1" applyBorder="1" applyAlignment="1">
      <alignment horizontal="center" vertical="center"/>
    </xf>
    <xf numFmtId="3" fontId="21" fillId="3" borderId="102" xfId="0" applyNumberFormat="1" applyFont="1" applyFill="1" applyBorder="1" applyAlignment="1">
      <alignment horizontal="center" vertical="center"/>
    </xf>
    <xf numFmtId="0" fontId="21" fillId="3" borderId="49" xfId="0" applyFont="1" applyFill="1" applyBorder="1"/>
    <xf numFmtId="0" fontId="41" fillId="3" borderId="0" xfId="0" applyFont="1" applyFill="1" applyAlignment="1">
      <alignment horizontal="right"/>
    </xf>
    <xf numFmtId="0" fontId="56" fillId="3" borderId="0" xfId="1" applyFont="1" applyFill="1" applyAlignment="1" applyProtection="1"/>
    <xf numFmtId="0" fontId="41" fillId="3" borderId="0" xfId="0" applyFont="1" applyFill="1" applyBorder="1" applyAlignment="1" applyProtection="1">
      <alignment vertical="center"/>
    </xf>
    <xf numFmtId="0" fontId="57" fillId="3" borderId="0" xfId="0" applyFont="1" applyFill="1" applyBorder="1"/>
    <xf numFmtId="0" fontId="48" fillId="3" borderId="73" xfId="0" applyFont="1" applyFill="1" applyBorder="1" applyAlignment="1">
      <alignment vertical="center"/>
    </xf>
    <xf numFmtId="0" fontId="52" fillId="3" borderId="0" xfId="1" applyFont="1" applyFill="1" applyAlignment="1" applyProtection="1"/>
    <xf numFmtId="0" fontId="41" fillId="3" borderId="0" xfId="0" applyFont="1" applyFill="1"/>
    <xf numFmtId="0" fontId="31" fillId="3" borderId="0" xfId="0" applyFont="1" applyFill="1"/>
    <xf numFmtId="0" fontId="48" fillId="3" borderId="0" xfId="0" applyFont="1" applyFill="1" applyBorder="1" applyAlignment="1" applyProtection="1">
      <alignment horizontal="right" vertical="center"/>
    </xf>
    <xf numFmtId="0" fontId="58" fillId="3" borderId="0" xfId="0" applyFont="1" applyFill="1" applyBorder="1"/>
    <xf numFmtId="0" fontId="59" fillId="3" borderId="0" xfId="1" applyFont="1" applyFill="1" applyBorder="1" applyAlignment="1" applyProtection="1"/>
    <xf numFmtId="0" fontId="62" fillId="3" borderId="0" xfId="0" applyFont="1" applyFill="1" applyBorder="1" applyAlignment="1" applyProtection="1">
      <alignment horizontal="center"/>
    </xf>
    <xf numFmtId="0" fontId="0" fillId="4" borderId="0" xfId="0" applyFont="1" applyFill="1" applyAlignment="1">
      <alignment horizontal="center"/>
    </xf>
    <xf numFmtId="0" fontId="63" fillId="3" borderId="0" xfId="0" applyFont="1" applyFill="1" applyBorder="1" applyAlignment="1" applyProtection="1">
      <alignment horizontal="left" vertical="center"/>
    </xf>
    <xf numFmtId="0" fontId="14" fillId="4" borderId="0" xfId="0" applyFont="1" applyFill="1"/>
    <xf numFmtId="0" fontId="14" fillId="3" borderId="0" xfId="0" applyFont="1" applyFill="1"/>
    <xf numFmtId="0" fontId="14" fillId="3" borderId="68" xfId="0" applyFont="1" applyFill="1" applyBorder="1" applyAlignment="1">
      <alignment horizontal="left"/>
    </xf>
    <xf numFmtId="0" fontId="14" fillId="4" borderId="0" xfId="0" applyFont="1" applyFill="1" applyBorder="1"/>
    <xf numFmtId="0" fontId="14" fillId="0" borderId="0" xfId="0" applyFont="1" applyBorder="1"/>
    <xf numFmtId="0" fontId="64" fillId="0" borderId="70" xfId="0" applyFont="1" applyBorder="1"/>
    <xf numFmtId="0" fontId="21" fillId="3" borderId="0" xfId="0" applyFont="1" applyFill="1" applyAlignment="1"/>
    <xf numFmtId="0" fontId="21" fillId="3" borderId="69" xfId="0" applyFont="1" applyFill="1" applyBorder="1" applyAlignment="1"/>
    <xf numFmtId="0" fontId="68" fillId="3" borderId="0" xfId="1" applyFont="1" applyFill="1" applyBorder="1" applyAlignment="1" applyProtection="1"/>
    <xf numFmtId="0" fontId="70" fillId="3" borderId="0" xfId="1" applyFont="1" applyFill="1" applyAlignment="1" applyProtection="1"/>
    <xf numFmtId="2" fontId="60" fillId="7" borderId="83" xfId="0" applyNumberFormat="1" applyFont="1" applyFill="1" applyBorder="1" applyAlignment="1" applyProtection="1">
      <alignment horizontal="center"/>
      <protection locked="0"/>
    </xf>
    <xf numFmtId="2" fontId="35" fillId="7" borderId="83" xfId="0" applyNumberFormat="1" applyFont="1" applyFill="1" applyBorder="1" applyAlignment="1" applyProtection="1">
      <alignment horizontal="center"/>
      <protection locked="0"/>
    </xf>
    <xf numFmtId="0" fontId="35" fillId="7" borderId="84" xfId="0" applyFont="1" applyFill="1" applyBorder="1" applyAlignment="1" applyProtection="1">
      <alignment horizontal="center"/>
      <protection locked="0"/>
    </xf>
    <xf numFmtId="0" fontId="71" fillId="3" borderId="0" xfId="0" applyFont="1" applyFill="1" applyBorder="1" applyAlignment="1" applyProtection="1">
      <alignment horizontal="left" vertical="center"/>
    </xf>
    <xf numFmtId="0" fontId="71" fillId="3" borderId="75" xfId="0" applyFont="1" applyFill="1" applyBorder="1" applyAlignment="1" applyProtection="1">
      <alignment horizontal="left" vertical="center"/>
    </xf>
    <xf numFmtId="0" fontId="74" fillId="3" borderId="0" xfId="0" applyFont="1" applyFill="1" applyBorder="1" applyAlignment="1" applyProtection="1">
      <alignment horizontal="right"/>
    </xf>
    <xf numFmtId="0" fontId="75" fillId="3" borderId="0" xfId="0" applyFont="1" applyFill="1" applyBorder="1" applyAlignment="1" applyProtection="1">
      <alignment horizontal="right" indent="3"/>
    </xf>
    <xf numFmtId="0" fontId="74" fillId="3" borderId="0" xfId="0" applyFont="1" applyFill="1" applyBorder="1" applyAlignment="1" applyProtection="1">
      <alignment horizontal="right" indent="2"/>
    </xf>
    <xf numFmtId="0" fontId="75" fillId="3" borderId="0" xfId="0" applyFont="1" applyFill="1" applyBorder="1" applyAlignment="1" applyProtection="1">
      <alignment horizontal="left"/>
    </xf>
    <xf numFmtId="0" fontId="74" fillId="3" borderId="0" xfId="0" applyFont="1" applyFill="1" applyBorder="1" applyAlignment="1" applyProtection="1">
      <alignment horizontal="left"/>
    </xf>
    <xf numFmtId="0" fontId="74" fillId="3" borderId="0" xfId="0" applyFont="1" applyFill="1" applyAlignment="1" applyProtection="1">
      <alignment horizontal="left"/>
    </xf>
    <xf numFmtId="0" fontId="76" fillId="3" borderId="77" xfId="0" applyFont="1" applyFill="1" applyBorder="1" applyAlignment="1" applyProtection="1">
      <alignment horizontal="center" vertical="center"/>
    </xf>
    <xf numFmtId="0" fontId="37" fillId="3" borderId="78" xfId="0" applyFont="1" applyFill="1" applyBorder="1" applyAlignment="1" applyProtection="1">
      <alignment horizontal="center" vertical="center"/>
    </xf>
    <xf numFmtId="0" fontId="76" fillId="3" borderId="79" xfId="0" applyFont="1" applyFill="1" applyBorder="1" applyAlignment="1" applyProtection="1">
      <alignment horizontal="center" vertical="center"/>
    </xf>
    <xf numFmtId="0" fontId="37" fillId="3" borderId="80" xfId="0" applyFont="1" applyFill="1" applyBorder="1" applyAlignment="1" applyProtection="1">
      <alignment horizontal="center" vertical="center"/>
    </xf>
    <xf numFmtId="0" fontId="76" fillId="3" borderId="81" xfId="0" applyFont="1" applyFill="1" applyBorder="1" applyAlignment="1" applyProtection="1">
      <alignment horizontal="center" vertical="center"/>
    </xf>
    <xf numFmtId="0" fontId="37" fillId="3" borderId="82" xfId="0" applyFont="1" applyFill="1" applyBorder="1" applyAlignment="1" applyProtection="1">
      <alignment horizontal="center" vertical="center"/>
    </xf>
    <xf numFmtId="0" fontId="80" fillId="3" borderId="0" xfId="0" applyFont="1" applyFill="1"/>
    <xf numFmtId="0" fontId="77" fillId="3" borderId="0" xfId="0" applyFont="1" applyFill="1" applyAlignment="1">
      <alignment horizontal="right"/>
    </xf>
    <xf numFmtId="0" fontId="77" fillId="3" borderId="0" xfId="0" applyFont="1" applyFill="1" applyBorder="1" applyAlignment="1" applyProtection="1">
      <alignment vertical="center"/>
    </xf>
    <xf numFmtId="0" fontId="82" fillId="3" borderId="0" xfId="0" applyFont="1" applyFill="1" applyBorder="1" applyAlignment="1" applyProtection="1">
      <alignment vertical="center"/>
    </xf>
    <xf numFmtId="0" fontId="83" fillId="3" borderId="0" xfId="0" applyFont="1" applyFill="1" applyBorder="1" applyAlignment="1" applyProtection="1">
      <alignment vertical="center" wrapText="1"/>
    </xf>
    <xf numFmtId="164" fontId="83" fillId="3" borderId="0" xfId="0" applyNumberFormat="1" applyFont="1" applyFill="1" applyBorder="1" applyAlignment="1" applyProtection="1">
      <alignment horizontal="left"/>
    </xf>
    <xf numFmtId="0" fontId="83" fillId="0" borderId="0" xfId="0" applyFont="1" applyBorder="1" applyAlignment="1"/>
    <xf numFmtId="0" fontId="83" fillId="3" borderId="0" xfId="0" applyFont="1" applyFill="1" applyBorder="1" applyAlignment="1" applyProtection="1">
      <alignment horizontal="right" vertical="center"/>
    </xf>
    <xf numFmtId="14" fontId="83" fillId="3" borderId="73" xfId="0" applyNumberFormat="1" applyFont="1" applyFill="1" applyBorder="1" applyAlignment="1" applyProtection="1">
      <alignment horizontal="right" vertical="center"/>
    </xf>
    <xf numFmtId="0" fontId="83" fillId="3" borderId="0" xfId="0" applyFont="1" applyFill="1" applyBorder="1"/>
    <xf numFmtId="0" fontId="83" fillId="3" borderId="0" xfId="0" applyFont="1" applyFill="1" applyBorder="1" applyAlignment="1" applyProtection="1">
      <alignment vertical="center"/>
    </xf>
    <xf numFmtId="0" fontId="83" fillId="3" borderId="0" xfId="0" applyFont="1" applyFill="1" applyBorder="1" applyAlignment="1" applyProtection="1"/>
    <xf numFmtId="0" fontId="83" fillId="3" borderId="0" xfId="0" applyFont="1" applyFill="1" applyBorder="1" applyAlignment="1"/>
    <xf numFmtId="0" fontId="83" fillId="0" borderId="73" xfId="0" applyFont="1" applyBorder="1" applyAlignment="1">
      <alignment vertical="center"/>
    </xf>
    <xf numFmtId="0" fontId="83" fillId="3" borderId="73" xfId="0" applyFont="1" applyFill="1" applyBorder="1"/>
    <xf numFmtId="0" fontId="14" fillId="3" borderId="0" xfId="0" applyFont="1" applyFill="1" applyBorder="1"/>
    <xf numFmtId="0" fontId="69" fillId="3" borderId="68" xfId="0" applyFont="1" applyFill="1" applyBorder="1"/>
    <xf numFmtId="0" fontId="69" fillId="3" borderId="0" xfId="0" applyFont="1" applyFill="1" applyBorder="1"/>
    <xf numFmtId="0" fontId="69" fillId="3" borderId="69" xfId="0" applyFont="1" applyFill="1" applyBorder="1"/>
    <xf numFmtId="0" fontId="69" fillId="3" borderId="0" xfId="0" quotePrefix="1" applyFont="1" applyFill="1" applyBorder="1"/>
    <xf numFmtId="0" fontId="73" fillId="3" borderId="68" xfId="0" applyFont="1" applyFill="1" applyBorder="1"/>
    <xf numFmtId="0" fontId="69" fillId="3" borderId="0" xfId="0" applyFont="1" applyFill="1" applyBorder="1" applyAlignment="1">
      <alignment horizontal="center"/>
    </xf>
    <xf numFmtId="0" fontId="69" fillId="3" borderId="69" xfId="0" applyFont="1" applyFill="1" applyBorder="1" applyAlignment="1"/>
    <xf numFmtId="0" fontId="83" fillId="3" borderId="0" xfId="0" applyFont="1" applyFill="1" applyAlignment="1"/>
    <xf numFmtId="0" fontId="15" fillId="0" borderId="0" xfId="1" applyAlignment="1" applyProtection="1"/>
    <xf numFmtId="0" fontId="71" fillId="3" borderId="75" xfId="0" applyFont="1" applyFill="1" applyBorder="1" applyAlignment="1" applyProtection="1">
      <alignment horizontal="left" vertical="center"/>
    </xf>
    <xf numFmtId="0" fontId="25" fillId="3" borderId="0" xfId="0" applyFont="1" applyFill="1" applyBorder="1" applyAlignment="1" applyProtection="1">
      <alignment horizontal="right" vertical="center"/>
    </xf>
    <xf numFmtId="0" fontId="0" fillId="3" borderId="0" xfId="0" applyFont="1" applyFill="1" applyBorder="1" applyAlignment="1" applyProtection="1">
      <alignment vertical="center"/>
    </xf>
    <xf numFmtId="0" fontId="25" fillId="3" borderId="0" xfId="0" applyFont="1" applyFill="1" applyBorder="1" applyAlignment="1" applyProtection="1">
      <alignment vertical="center"/>
    </xf>
    <xf numFmtId="0" fontId="71" fillId="3" borderId="75" xfId="0" applyFont="1" applyFill="1" applyBorder="1" applyAlignment="1" applyProtection="1">
      <alignment horizontal="left" vertical="center"/>
    </xf>
    <xf numFmtId="0" fontId="40" fillId="4" borderId="0" xfId="0" applyFont="1" applyFill="1" applyProtection="1"/>
    <xf numFmtId="0" fontId="17" fillId="0" borderId="0" xfId="0" applyFont="1" applyFill="1" applyBorder="1" applyAlignment="1">
      <alignment horizontal="center"/>
    </xf>
    <xf numFmtId="0" fontId="17" fillId="0" borderId="0" xfId="0" applyFont="1" applyFill="1" applyBorder="1" applyAlignment="1">
      <alignment horizontal="center" wrapText="1"/>
    </xf>
    <xf numFmtId="0" fontId="25" fillId="3" borderId="75" xfId="0" applyFont="1" applyFill="1" applyBorder="1" applyAlignment="1" applyProtection="1">
      <alignment vertical="center"/>
    </xf>
    <xf numFmtId="14" fontId="25" fillId="3" borderId="75" xfId="0" applyNumberFormat="1" applyFont="1" applyFill="1" applyBorder="1" applyAlignment="1" applyProtection="1">
      <alignment horizontal="left" vertical="center"/>
    </xf>
    <xf numFmtId="14" fontId="25" fillId="3" borderId="69" xfId="0" applyNumberFormat="1" applyFont="1" applyFill="1" applyBorder="1" applyAlignment="1" applyProtection="1">
      <alignment horizontal="left" vertical="center"/>
    </xf>
    <xf numFmtId="0" fontId="43" fillId="0" borderId="0" xfId="0" applyFont="1" applyBorder="1"/>
    <xf numFmtId="1" fontId="0" fillId="4" borderId="0" xfId="0" applyNumberFormat="1" applyFont="1" applyFill="1" applyAlignment="1">
      <alignment horizontal="right"/>
    </xf>
    <xf numFmtId="165" fontId="0" fillId="0" borderId="13" xfId="0" applyNumberFormat="1" applyBorder="1" applyAlignment="1">
      <alignment horizontal="center"/>
    </xf>
    <xf numFmtId="165" fontId="0" fillId="0" borderId="16" xfId="0" applyNumberFormat="1" applyBorder="1" applyAlignment="1">
      <alignment horizontal="center"/>
    </xf>
    <xf numFmtId="165" fontId="0" fillId="0" borderId="19" xfId="0" applyNumberFormat="1" applyBorder="1" applyAlignment="1">
      <alignment horizontal="center"/>
    </xf>
    <xf numFmtId="0" fontId="0" fillId="0" borderId="0" xfId="0" applyBorder="1" applyAlignment="1">
      <alignment horizontal="center"/>
    </xf>
    <xf numFmtId="0" fontId="17" fillId="0" borderId="48" xfId="0" applyFont="1" applyBorder="1" applyAlignment="1">
      <alignment horizontal="center"/>
    </xf>
    <xf numFmtId="0" fontId="17" fillId="0" borderId="51" xfId="0" applyFont="1" applyFill="1" applyBorder="1" applyAlignment="1">
      <alignment horizontal="center" wrapText="1"/>
    </xf>
    <xf numFmtId="0" fontId="17" fillId="0" borderId="52" xfId="0" applyFont="1" applyFill="1" applyBorder="1" applyAlignment="1">
      <alignment horizontal="center" wrapText="1"/>
    </xf>
    <xf numFmtId="0" fontId="17" fillId="0" borderId="51" xfId="0" applyFont="1" applyFill="1" applyBorder="1" applyAlignment="1">
      <alignment horizontal="center"/>
    </xf>
    <xf numFmtId="0" fontId="17" fillId="0" borderId="52" xfId="0" applyFont="1" applyFill="1" applyBorder="1" applyAlignment="1">
      <alignment horizontal="center"/>
    </xf>
    <xf numFmtId="0" fontId="0" fillId="0" borderId="51" xfId="0" applyFill="1" applyBorder="1" applyAlignment="1">
      <alignment horizontal="center"/>
    </xf>
    <xf numFmtId="0" fontId="0" fillId="0" borderId="52" xfId="0" applyBorder="1"/>
    <xf numFmtId="0" fontId="0" fillId="0" borderId="51" xfId="0" applyBorder="1" applyAlignment="1">
      <alignment horizontal="center"/>
    </xf>
    <xf numFmtId="0" fontId="0" fillId="0" borderId="52" xfId="0" applyFill="1" applyBorder="1" applyAlignment="1">
      <alignment horizontal="center"/>
    </xf>
    <xf numFmtId="0" fontId="0" fillId="0" borderId="41" xfId="0" applyBorder="1" applyAlignment="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17" fillId="3" borderId="0" xfId="0" applyFont="1" applyFill="1" applyAlignment="1" applyProtection="1"/>
    <xf numFmtId="166" fontId="0" fillId="4" borderId="0" xfId="0" applyNumberFormat="1" applyFont="1" applyFill="1" applyAlignment="1">
      <alignment horizontal="right"/>
    </xf>
    <xf numFmtId="0" fontId="0" fillId="3" borderId="68" xfId="0" applyFill="1" applyBorder="1" applyProtection="1"/>
    <xf numFmtId="0" fontId="40" fillId="4" borderId="0" xfId="0" applyFont="1" applyFill="1" applyBorder="1" applyProtection="1"/>
    <xf numFmtId="0" fontId="0" fillId="5" borderId="0" xfId="0" applyFont="1" applyFill="1"/>
    <xf numFmtId="0" fontId="0" fillId="5" borderId="0" xfId="0" applyFont="1" applyFill="1" applyAlignment="1">
      <alignment horizontal="center"/>
    </xf>
    <xf numFmtId="0" fontId="0" fillId="0" borderId="0" xfId="0" applyFont="1" applyFill="1"/>
    <xf numFmtId="0" fontId="0" fillId="8" borderId="0" xfId="0" applyFont="1" applyFill="1" applyAlignment="1">
      <alignment horizontal="right"/>
    </xf>
    <xf numFmtId="0" fontId="0" fillId="8" borderId="0" xfId="0" applyFont="1" applyFill="1"/>
    <xf numFmtId="2" fontId="0" fillId="8" borderId="0" xfId="0" applyNumberFormat="1" applyFont="1" applyFill="1" applyAlignment="1">
      <alignment horizontal="right"/>
    </xf>
    <xf numFmtId="165" fontId="0" fillId="8" borderId="0" xfId="0" applyNumberFormat="1" applyFont="1" applyFill="1"/>
    <xf numFmtId="0" fontId="87" fillId="3" borderId="0" xfId="1" applyFont="1" applyFill="1" applyBorder="1" applyAlignment="1" applyProtection="1"/>
    <xf numFmtId="0" fontId="87" fillId="0" borderId="0" xfId="1" applyFont="1" applyAlignment="1" applyProtection="1"/>
    <xf numFmtId="0" fontId="52" fillId="3" borderId="68" xfId="0" applyFont="1" applyFill="1" applyBorder="1"/>
    <xf numFmtId="0" fontId="26" fillId="3" borderId="0" xfId="0" applyFont="1" applyFill="1" applyBorder="1" applyProtection="1">
      <protection locked="0"/>
    </xf>
    <xf numFmtId="167" fontId="35" fillId="7" borderId="83" xfId="0" applyNumberFormat="1" applyFont="1" applyFill="1" applyBorder="1" applyAlignment="1" applyProtection="1">
      <alignment horizontal="center"/>
      <protection locked="0"/>
    </xf>
    <xf numFmtId="167" fontId="21" fillId="4" borderId="0" xfId="0" applyNumberFormat="1" applyFont="1" applyFill="1" applyBorder="1" applyProtection="1"/>
    <xf numFmtId="167" fontId="0" fillId="4" borderId="0" xfId="0" applyNumberFormat="1" applyFont="1" applyFill="1" applyAlignment="1">
      <alignment horizontal="right"/>
    </xf>
    <xf numFmtId="167" fontId="0" fillId="4" borderId="0" xfId="0" applyNumberFormat="1" applyFont="1" applyFill="1"/>
    <xf numFmtId="0" fontId="17" fillId="0" borderId="0" xfId="0" applyFont="1" applyFill="1" applyBorder="1"/>
    <xf numFmtId="0" fontId="32" fillId="4" borderId="0" xfId="0" applyFont="1" applyFill="1" applyBorder="1" applyProtection="1"/>
    <xf numFmtId="9" fontId="88" fillId="4" borderId="0" xfId="0" applyNumberFormat="1" applyFont="1" applyFill="1" applyProtection="1"/>
    <xf numFmtId="0" fontId="88" fillId="4" borderId="0" xfId="0" applyFont="1" applyFill="1" applyProtection="1"/>
    <xf numFmtId="0" fontId="88" fillId="4" borderId="0" xfId="0" applyFont="1" applyFill="1" applyAlignment="1" applyProtection="1">
      <alignment horizontal="center" vertical="center"/>
    </xf>
    <xf numFmtId="0" fontId="88" fillId="4" borderId="0" xfId="0" applyFont="1" applyFill="1" applyAlignment="1" applyProtection="1">
      <alignment horizontal="center"/>
    </xf>
    <xf numFmtId="0" fontId="32" fillId="0" borderId="0" xfId="0" applyFont="1" applyAlignment="1">
      <alignment horizontal="center"/>
    </xf>
    <xf numFmtId="0" fontId="17" fillId="0" borderId="0" xfId="0" applyFont="1"/>
    <xf numFmtId="0" fontId="89" fillId="0" borderId="32" xfId="0" applyFont="1" applyBorder="1" applyAlignment="1">
      <alignment horizontal="center"/>
    </xf>
    <xf numFmtId="0" fontId="89" fillId="0" borderId="29" xfId="0" applyFont="1" applyBorder="1" applyAlignment="1">
      <alignment horizontal="center"/>
    </xf>
    <xf numFmtId="0" fontId="90" fillId="0" borderId="33" xfId="0" applyFont="1" applyBorder="1"/>
    <xf numFmtId="0" fontId="90" fillId="0" borderId="20" xfId="0" applyFont="1" applyBorder="1"/>
    <xf numFmtId="1" fontId="89" fillId="0" borderId="33" xfId="0" applyNumberFormat="1" applyFont="1" applyFill="1" applyBorder="1" applyAlignment="1">
      <alignment horizontal="center"/>
    </xf>
    <xf numFmtId="2" fontId="91" fillId="0" borderId="20" xfId="0" applyNumberFormat="1" applyFont="1" applyBorder="1" applyAlignment="1">
      <alignment horizontal="center" wrapText="1"/>
    </xf>
    <xf numFmtId="0" fontId="89" fillId="0" borderId="33" xfId="0" applyFont="1" applyFill="1" applyBorder="1" applyAlignment="1">
      <alignment horizontal="center"/>
    </xf>
    <xf numFmtId="0" fontId="91" fillId="0" borderId="20" xfId="0" applyFont="1" applyBorder="1" applyAlignment="1">
      <alignment horizontal="center" wrapText="1"/>
    </xf>
    <xf numFmtId="0" fontId="89" fillId="0" borderId="34" xfId="0" applyFont="1" applyFill="1" applyBorder="1" applyAlignment="1">
      <alignment horizontal="center"/>
    </xf>
    <xf numFmtId="2" fontId="91" fillId="0" borderId="25" xfId="0" applyNumberFormat="1" applyFont="1" applyBorder="1" applyAlignment="1">
      <alignment horizontal="center" wrapText="1"/>
    </xf>
    <xf numFmtId="0" fontId="89" fillId="0" borderId="0" xfId="0" applyFont="1" applyBorder="1"/>
    <xf numFmtId="0" fontId="89" fillId="0" borderId="0" xfId="0" applyFont="1"/>
    <xf numFmtId="0" fontId="89" fillId="0" borderId="27" xfId="0" applyFont="1" applyBorder="1" applyAlignment="1">
      <alignment horizontal="center"/>
    </xf>
    <xf numFmtId="2" fontId="89" fillId="0" borderId="29" xfId="0" applyNumberFormat="1" applyFont="1" applyBorder="1"/>
    <xf numFmtId="0" fontId="89" fillId="0" borderId="30" xfId="0" applyFont="1" applyBorder="1" applyAlignment="1">
      <alignment horizontal="center"/>
    </xf>
    <xf numFmtId="0" fontId="89" fillId="0" borderId="31" xfId="0" applyFont="1" applyBorder="1" applyAlignment="1">
      <alignment horizontal="center"/>
    </xf>
    <xf numFmtId="0" fontId="89" fillId="0" borderId="0" xfId="0" applyFont="1" applyAlignment="1">
      <alignment horizontal="center"/>
    </xf>
    <xf numFmtId="2" fontId="21" fillId="0" borderId="29" xfId="0" applyNumberFormat="1" applyFont="1" applyBorder="1"/>
    <xf numFmtId="2" fontId="2" fillId="0" borderId="2" xfId="0" applyNumberFormat="1" applyFont="1" applyBorder="1" applyAlignment="1">
      <alignment horizontal="center" wrapText="1"/>
    </xf>
    <xf numFmtId="165" fontId="21" fillId="0" borderId="2" xfId="0" applyNumberFormat="1" applyFont="1" applyBorder="1" applyAlignment="1">
      <alignment horizontal="center"/>
    </xf>
    <xf numFmtId="0" fontId="2" fillId="0" borderId="2" xfId="0" applyFont="1" applyBorder="1" applyAlignment="1">
      <alignment horizontal="center" wrapText="1"/>
    </xf>
    <xf numFmtId="0" fontId="21" fillId="0" borderId="2" xfId="0" applyFont="1" applyBorder="1" applyAlignment="1">
      <alignment horizontal="center"/>
    </xf>
    <xf numFmtId="2" fontId="2" fillId="0" borderId="24" xfId="0" applyNumberFormat="1" applyFont="1" applyBorder="1" applyAlignment="1">
      <alignment horizontal="center" wrapText="1"/>
    </xf>
    <xf numFmtId="0" fontId="21" fillId="0" borderId="24" xfId="0" applyFont="1" applyBorder="1" applyAlignment="1">
      <alignment horizontal="center"/>
    </xf>
    <xf numFmtId="0" fontId="21" fillId="4" borderId="0" xfId="0" applyNumberFormat="1" applyFont="1" applyFill="1" applyAlignment="1">
      <alignment horizontal="right"/>
    </xf>
    <xf numFmtId="0" fontId="21" fillId="4" borderId="0" xfId="0" quotePrefix="1" applyFont="1" applyFill="1"/>
    <xf numFmtId="0" fontId="21" fillId="8" borderId="0" xfId="0" applyFont="1" applyFill="1" applyAlignment="1">
      <alignment horizontal="right"/>
    </xf>
    <xf numFmtId="2" fontId="21" fillId="8" borderId="0" xfId="0" applyNumberFormat="1" applyFont="1" applyFill="1" applyAlignment="1">
      <alignment horizontal="right"/>
    </xf>
    <xf numFmtId="0" fontId="21" fillId="8" borderId="0" xfId="0" applyFont="1" applyFill="1"/>
    <xf numFmtId="0" fontId="21" fillId="4" borderId="0" xfId="0" applyFont="1" applyFill="1" applyAlignment="1">
      <alignment horizontal="center"/>
    </xf>
    <xf numFmtId="2" fontId="21" fillId="4" borderId="0" xfId="0" applyNumberFormat="1" applyFont="1" applyFill="1" applyAlignment="1">
      <alignment horizontal="right"/>
    </xf>
    <xf numFmtId="165" fontId="21" fillId="8" borderId="0" xfId="0" applyNumberFormat="1" applyFont="1" applyFill="1"/>
    <xf numFmtId="0" fontId="0" fillId="4" borderId="0" xfId="0" applyNumberFormat="1" applyFont="1" applyFill="1"/>
    <xf numFmtId="2" fontId="21" fillId="4" borderId="0" xfId="0" applyNumberFormat="1" applyFont="1" applyFill="1"/>
    <xf numFmtId="167" fontId="21" fillId="4" borderId="0" xfId="0" applyNumberFormat="1" applyFont="1" applyFill="1" applyAlignment="1">
      <alignment horizontal="right"/>
    </xf>
    <xf numFmtId="0" fontId="59" fillId="0" borderId="0" xfId="1" applyFont="1" applyAlignment="1" applyProtection="1"/>
    <xf numFmtId="0" fontId="69" fillId="3" borderId="68" xfId="0" applyFont="1" applyFill="1" applyBorder="1" applyAlignment="1">
      <alignment wrapText="1"/>
    </xf>
    <xf numFmtId="0" fontId="69" fillId="3" borderId="0" xfId="0" applyFont="1" applyFill="1" applyBorder="1" applyAlignment="1">
      <alignment wrapText="1"/>
    </xf>
    <xf numFmtId="0" fontId="69" fillId="3" borderId="69" xfId="0" applyFont="1" applyFill="1" applyBorder="1" applyAlignment="1">
      <alignment wrapText="1"/>
    </xf>
    <xf numFmtId="0" fontId="66" fillId="3" borderId="85" xfId="0" applyFont="1" applyFill="1" applyBorder="1" applyAlignment="1">
      <alignment horizontal="left"/>
    </xf>
    <xf numFmtId="0" fontId="67" fillId="0" borderId="86" xfId="0" applyFont="1" applyBorder="1" applyAlignment="1">
      <alignment horizontal="left"/>
    </xf>
    <xf numFmtId="0" fontId="67" fillId="0" borderId="87" xfId="0" applyFont="1" applyBorder="1" applyAlignment="1">
      <alignment horizontal="left"/>
    </xf>
    <xf numFmtId="0" fontId="14" fillId="3" borderId="68" xfId="0" applyFont="1" applyFill="1" applyBorder="1" applyAlignment="1">
      <alignment wrapText="1"/>
    </xf>
    <xf numFmtId="0" fontId="21" fillId="3" borderId="0" xfId="0" applyFont="1" applyFill="1" applyAlignment="1">
      <alignment wrapText="1"/>
    </xf>
    <xf numFmtId="0" fontId="21" fillId="3" borderId="69" xfId="0" applyFont="1" applyFill="1" applyBorder="1" applyAlignment="1">
      <alignment wrapText="1"/>
    </xf>
    <xf numFmtId="0" fontId="0" fillId="3" borderId="98" xfId="0" applyFill="1" applyBorder="1" applyAlignment="1" applyProtection="1"/>
    <xf numFmtId="0" fontId="0" fillId="3" borderId="99" xfId="0" applyFill="1" applyBorder="1" applyAlignment="1" applyProtection="1"/>
    <xf numFmtId="0" fontId="0" fillId="3" borderId="100" xfId="0" applyFill="1" applyBorder="1" applyAlignment="1" applyProtection="1"/>
    <xf numFmtId="0" fontId="0" fillId="3" borderId="72" xfId="0" applyFill="1" applyBorder="1" applyAlignment="1" applyProtection="1"/>
    <xf numFmtId="0" fontId="0" fillId="3" borderId="0" xfId="0" applyFill="1" applyBorder="1" applyAlignment="1" applyProtection="1"/>
    <xf numFmtId="0" fontId="0" fillId="3" borderId="73" xfId="0" applyFill="1" applyBorder="1" applyAlignment="1" applyProtection="1"/>
    <xf numFmtId="0" fontId="44" fillId="3" borderId="0" xfId="0" applyFont="1" applyFill="1" applyBorder="1" applyAlignment="1" applyProtection="1">
      <alignment vertical="center"/>
    </xf>
    <xf numFmtId="0" fontId="44" fillId="3" borderId="73" xfId="0" applyFont="1" applyFill="1" applyBorder="1" applyAlignment="1" applyProtection="1">
      <alignment vertical="center"/>
    </xf>
    <xf numFmtId="0" fontId="60" fillId="7" borderId="96" xfId="0" applyFont="1" applyFill="1" applyBorder="1" applyAlignment="1" applyProtection="1">
      <protection locked="0"/>
    </xf>
    <xf numFmtId="0" fontId="60" fillId="7" borderId="97" xfId="0" applyFont="1" applyFill="1" applyBorder="1" applyAlignment="1" applyProtection="1">
      <protection locked="0"/>
    </xf>
    <xf numFmtId="0" fontId="78" fillId="3" borderId="0" xfId="0" applyFont="1" applyFill="1" applyBorder="1" applyAlignment="1" applyProtection="1">
      <alignment vertical="center" wrapText="1"/>
    </xf>
    <xf numFmtId="0" fontId="79" fillId="3" borderId="0" xfId="0" applyFont="1" applyFill="1" applyBorder="1" applyAlignment="1" applyProtection="1">
      <alignment vertical="center" wrapText="1"/>
    </xf>
    <xf numFmtId="0" fontId="71" fillId="3" borderId="75" xfId="0" applyFont="1" applyFill="1" applyBorder="1" applyAlignment="1" applyProtection="1">
      <alignment horizontal="left" vertical="center"/>
    </xf>
    <xf numFmtId="0" fontId="72" fillId="3" borderId="75" xfId="0" applyFont="1" applyFill="1" applyBorder="1" applyAlignment="1" applyProtection="1">
      <alignment horizontal="left"/>
    </xf>
    <xf numFmtId="0" fontId="0" fillId="0" borderId="97" xfId="0" applyBorder="1" applyAlignment="1" applyProtection="1">
      <protection locked="0"/>
    </xf>
    <xf numFmtId="0" fontId="21" fillId="4" borderId="36" xfId="0" applyFont="1" applyFill="1" applyBorder="1" applyAlignment="1" applyProtection="1">
      <alignment horizontal="right"/>
    </xf>
    <xf numFmtId="0" fontId="21" fillId="4" borderId="37" xfId="0" applyFont="1" applyFill="1" applyBorder="1" applyAlignment="1" applyProtection="1">
      <alignment horizontal="right"/>
    </xf>
    <xf numFmtId="0" fontId="40" fillId="4" borderId="0" xfId="0" applyFont="1" applyFill="1" applyAlignment="1" applyProtection="1">
      <alignment horizontal="left"/>
    </xf>
    <xf numFmtId="0" fontId="40" fillId="4" borderId="0" xfId="0" applyFont="1" applyFill="1" applyAlignment="1" applyProtection="1"/>
    <xf numFmtId="0" fontId="77" fillId="3" borderId="88" xfId="0" applyFont="1" applyFill="1" applyBorder="1" applyAlignment="1" applyProtection="1">
      <alignment horizontal="left" vertical="center" wrapText="1"/>
    </xf>
    <xf numFmtId="0" fontId="76" fillId="3" borderId="88" xfId="0" applyFont="1" applyFill="1" applyBorder="1" applyAlignment="1" applyProtection="1">
      <alignment horizontal="left" vertical="center"/>
    </xf>
    <xf numFmtId="9" fontId="85" fillId="3" borderId="0" xfId="0" applyNumberFormat="1" applyFont="1" applyFill="1" applyBorder="1" applyAlignment="1" applyProtection="1">
      <alignment horizontal="center" vertical="center" wrapText="1"/>
    </xf>
    <xf numFmtId="0" fontId="86" fillId="3" borderId="0" xfId="0" applyFont="1" applyFill="1" applyBorder="1" applyAlignment="1" applyProtection="1">
      <alignment horizontal="center" vertical="center"/>
    </xf>
    <xf numFmtId="0" fontId="86" fillId="3" borderId="74" xfId="0" applyFont="1" applyFill="1" applyBorder="1" applyAlignment="1" applyProtection="1">
      <alignment horizontal="center" vertical="center"/>
    </xf>
    <xf numFmtId="0" fontId="77" fillId="3" borderId="89" xfId="0" applyFont="1" applyFill="1" applyBorder="1" applyAlignment="1" applyProtection="1">
      <alignment horizontal="center"/>
    </xf>
    <xf numFmtId="0" fontId="77" fillId="3" borderId="90" xfId="0" applyFont="1" applyFill="1" applyBorder="1" applyAlignment="1" applyProtection="1">
      <alignment horizontal="center"/>
    </xf>
    <xf numFmtId="0" fontId="77" fillId="3" borderId="91" xfId="0" applyFont="1" applyFill="1" applyBorder="1" applyAlignment="1" applyProtection="1">
      <alignment horizontal="center"/>
    </xf>
    <xf numFmtId="0" fontId="77" fillId="3" borderId="95" xfId="0" applyFont="1" applyFill="1" applyBorder="1" applyAlignment="1" applyProtection="1">
      <alignment horizontal="left" vertical="center" wrapText="1"/>
    </xf>
    <xf numFmtId="0" fontId="76" fillId="3" borderId="95" xfId="0" applyFont="1" applyFill="1" applyBorder="1" applyAlignment="1" applyProtection="1">
      <alignment horizontal="left" vertical="center"/>
    </xf>
    <xf numFmtId="0" fontId="75" fillId="3" borderId="0" xfId="0" applyFont="1" applyFill="1" applyBorder="1" applyAlignment="1" applyProtection="1">
      <alignment horizontal="left" wrapText="1"/>
    </xf>
    <xf numFmtId="2" fontId="60" fillId="7" borderId="103" xfId="0" applyNumberFormat="1" applyFont="1" applyFill="1" applyBorder="1" applyAlignment="1" applyProtection="1">
      <alignment horizontal="center"/>
      <protection locked="0"/>
    </xf>
    <xf numFmtId="0" fontId="0" fillId="0" borderId="104" xfId="0" applyBorder="1" applyAlignment="1" applyProtection="1">
      <alignment horizontal="center"/>
      <protection locked="0"/>
    </xf>
    <xf numFmtId="0" fontId="77" fillId="3" borderId="92" xfId="0" applyFont="1" applyFill="1" applyBorder="1" applyAlignment="1" applyProtection="1">
      <alignment horizontal="left" vertical="center" wrapText="1"/>
    </xf>
    <xf numFmtId="0" fontId="76" fillId="3" borderId="92" xfId="0" applyFont="1" applyFill="1" applyBorder="1" applyAlignment="1" applyProtection="1">
      <alignment horizontal="left" vertical="center"/>
    </xf>
    <xf numFmtId="0" fontId="60" fillId="7" borderId="93" xfId="0" applyFont="1" applyFill="1" applyBorder="1" applyAlignment="1" applyProtection="1">
      <protection locked="0"/>
    </xf>
    <xf numFmtId="0" fontId="61" fillId="7" borderId="94" xfId="0" applyFont="1" applyFill="1" applyBorder="1" applyAlignment="1" applyProtection="1">
      <protection locked="0"/>
    </xf>
    <xf numFmtId="0" fontId="40" fillId="4" borderId="0" xfId="0" applyFont="1" applyFill="1" applyAlignment="1" applyProtection="1">
      <alignment horizontal="center"/>
    </xf>
    <xf numFmtId="0" fontId="75" fillId="3" borderId="76" xfId="0" applyFont="1" applyFill="1" applyBorder="1" applyAlignment="1" applyProtection="1">
      <alignment horizontal="left" wrapText="1"/>
    </xf>
    <xf numFmtId="0" fontId="0" fillId="0" borderId="94" xfId="0" applyBorder="1" applyAlignment="1" applyProtection="1">
      <protection locked="0"/>
    </xf>
    <xf numFmtId="0" fontId="60" fillId="7" borderId="105" xfId="0" applyFont="1" applyFill="1" applyBorder="1" applyAlignment="1" applyProtection="1">
      <protection locked="0"/>
    </xf>
    <xf numFmtId="0" fontId="43" fillId="7" borderId="0" xfId="0" applyFont="1" applyFill="1" applyBorder="1" applyAlignment="1" applyProtection="1">
      <protection locked="0"/>
    </xf>
    <xf numFmtId="0" fontId="0" fillId="0" borderId="0" xfId="0" applyAlignment="1" applyProtection="1">
      <protection locked="0"/>
    </xf>
    <xf numFmtId="0" fontId="40" fillId="3" borderId="27" xfId="0" applyFont="1" applyFill="1" applyBorder="1" applyAlignment="1">
      <alignment horizontal="center" vertical="center"/>
    </xf>
    <xf numFmtId="0" fontId="40" fillId="3" borderId="28" xfId="0" applyFont="1" applyFill="1" applyBorder="1" applyAlignment="1">
      <alignment horizontal="center" vertical="center"/>
    </xf>
    <xf numFmtId="0" fontId="40" fillId="3" borderId="29" xfId="0" applyFont="1" applyFill="1" applyBorder="1" applyAlignment="1">
      <alignment horizontal="center" vertical="center"/>
    </xf>
    <xf numFmtId="0" fontId="17" fillId="0" borderId="0" xfId="0" applyFont="1" applyAlignment="1">
      <alignment horizontal="center"/>
    </xf>
    <xf numFmtId="0" fontId="17" fillId="0" borderId="49" xfId="0" applyFont="1" applyBorder="1" applyAlignment="1">
      <alignment horizontal="center"/>
    </xf>
    <xf numFmtId="0" fontId="17" fillId="0" borderId="50" xfId="0" applyFont="1" applyBorder="1" applyAlignment="1">
      <alignment horizontal="center"/>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0" fontId="45" fillId="0" borderId="44" xfId="0" applyFont="1" applyBorder="1" applyAlignment="1">
      <alignment horizontal="center" vertical="center"/>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7" xfId="0" applyFont="1" applyBorder="1" applyAlignment="1">
      <alignment horizontal="center" vertical="center"/>
    </xf>
    <xf numFmtId="0" fontId="45" fillId="0" borderId="14" xfId="0" applyFont="1" applyBorder="1" applyAlignment="1">
      <alignment horizontal="center" vertical="center"/>
    </xf>
    <xf numFmtId="0" fontId="45" fillId="0" borderId="15" xfId="0" applyFont="1" applyBorder="1" applyAlignment="1">
      <alignment horizontal="center" vertical="center"/>
    </xf>
    <xf numFmtId="0" fontId="45" fillId="0" borderId="2" xfId="0" applyFont="1" applyBorder="1" applyAlignment="1">
      <alignment horizontal="center" vertical="center"/>
    </xf>
    <xf numFmtId="0" fontId="45" fillId="0" borderId="16" xfId="0" applyFont="1" applyBorder="1" applyAlignment="1">
      <alignment horizontal="center" vertical="center"/>
    </xf>
    <xf numFmtId="0" fontId="45" fillId="0" borderId="36" xfId="0" applyFont="1" applyBorder="1" applyAlignment="1">
      <alignment horizontal="center" vertical="center" wrapText="1"/>
    </xf>
    <xf numFmtId="0" fontId="45" fillId="0" borderId="37" xfId="0" applyFont="1" applyBorder="1" applyAlignment="1">
      <alignment horizontal="center" vertical="center" wrapText="1"/>
    </xf>
    <xf numFmtId="0" fontId="45" fillId="0" borderId="35"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49" xfId="0" applyFont="1" applyBorder="1" applyAlignment="1">
      <alignment horizontal="center" vertical="center" wrapText="1"/>
    </xf>
    <xf numFmtId="0" fontId="20" fillId="0" borderId="50"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53"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56" xfId="0" applyFont="1" applyBorder="1" applyAlignment="1">
      <alignment horizontal="center" wrapText="1"/>
    </xf>
    <xf numFmtId="0" fontId="20" fillId="0" borderId="57" xfId="0" applyFont="1" applyBorder="1" applyAlignment="1">
      <alignment horizontal="center" wrapText="1"/>
    </xf>
    <xf numFmtId="0" fontId="20" fillId="0" borderId="58" xfId="0" applyFont="1" applyBorder="1" applyAlignment="1">
      <alignment horizontal="center" wrapText="1"/>
    </xf>
    <xf numFmtId="0" fontId="20" fillId="0" borderId="59" xfId="0" applyFont="1" applyBorder="1" applyAlignment="1">
      <alignment horizontal="center" wrapText="1"/>
    </xf>
    <xf numFmtId="0" fontId="20" fillId="0" borderId="60" xfId="0" applyFont="1" applyBorder="1" applyAlignment="1">
      <alignment horizontal="center" wrapText="1"/>
    </xf>
    <xf numFmtId="0" fontId="20" fillId="0" borderId="61" xfId="0" applyFont="1" applyBorder="1" applyAlignment="1">
      <alignment horizontal="center"/>
    </xf>
    <xf numFmtId="0" fontId="20" fillId="0" borderId="62" xfId="0" applyFont="1" applyBorder="1" applyAlignment="1">
      <alignment horizontal="center"/>
    </xf>
    <xf numFmtId="0" fontId="20" fillId="0" borderId="63" xfId="0" applyFont="1" applyBorder="1" applyAlignment="1">
      <alignment horizontal="center"/>
    </xf>
    <xf numFmtId="0" fontId="20" fillId="0" borderId="61" xfId="0" applyFont="1" applyBorder="1" applyAlignment="1">
      <alignment horizontal="center" vertical="center"/>
    </xf>
    <xf numFmtId="0" fontId="20" fillId="0" borderId="62" xfId="0" applyFont="1" applyBorder="1" applyAlignment="1">
      <alignment horizontal="center" vertical="center"/>
    </xf>
    <xf numFmtId="0" fontId="20" fillId="0" borderId="63" xfId="0" applyFont="1" applyBorder="1" applyAlignment="1">
      <alignment horizontal="center" vertical="center"/>
    </xf>
    <xf numFmtId="0" fontId="73" fillId="3" borderId="0" xfId="0" applyFont="1" applyFill="1" applyBorder="1" applyAlignment="1" applyProtection="1">
      <alignment vertical="center"/>
    </xf>
    <xf numFmtId="0" fontId="84" fillId="3" borderId="0" xfId="0" applyFont="1" applyFill="1" applyBorder="1" applyAlignment="1" applyProtection="1">
      <alignment vertical="center"/>
    </xf>
    <xf numFmtId="0" fontId="84" fillId="3" borderId="73" xfId="0" applyFont="1" applyFill="1" applyBorder="1" applyAlignment="1" applyProtection="1">
      <alignment vertical="center"/>
    </xf>
    <xf numFmtId="0" fontId="52" fillId="3" borderId="0" xfId="0" applyFont="1" applyFill="1" applyAlignment="1">
      <alignment horizontal="center"/>
    </xf>
    <xf numFmtId="0" fontId="52" fillId="0" borderId="0" xfId="0" applyFont="1" applyAlignment="1">
      <alignment horizontal="center"/>
    </xf>
  </cellXfs>
  <cellStyles count="2">
    <cellStyle name="Hyperlink" xfId="1" builtinId="8"/>
    <cellStyle name="Normal" xfId="0" builtinId="0"/>
  </cellStyles>
  <dxfs count="1">
    <dxf>
      <font>
        <color theme="0" tint="-0.24994659260841701"/>
      </font>
      <fill>
        <patternFill>
          <bgColor theme="0" tint="-0.24994659260841701"/>
        </patternFill>
      </fill>
    </dxf>
  </dxfs>
  <tableStyles count="0" defaultTableStyle="TableStyleMedium9" defaultPivotStyle="PivotStyleLight16"/>
  <colors>
    <mruColors>
      <color rgb="FFCCFFCC"/>
      <color rgb="FFFF00FF"/>
      <color rgb="FFFF66FF"/>
      <color rgb="FF395E85"/>
      <color rgb="FF9900FF"/>
      <color rgb="FF6600CC"/>
      <color rgb="FF9933FF"/>
      <color rgb="FFFFFFCC"/>
      <color rgb="FFFFFF99"/>
      <color rgb="FFE1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ci25.actonsoftware.com/acton/form/2795/0010:d-0001/1/index.htm" TargetMode="External"/><Relationship Id="rId2" Type="http://schemas.openxmlformats.org/officeDocument/2006/relationships/image" Target="../media/image15.png"/><Relationship Id="rId1" Type="http://schemas.openxmlformats.org/officeDocument/2006/relationships/image" Target="../media/image1.png"/><Relationship Id="rId4"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hyperlink" Target="http://ci25.actonsoftware.com/acton/form/2795/0004:d-0001/1/index.htm" TargetMode="External"/><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8" Type="http://schemas.openxmlformats.org/officeDocument/2006/relationships/hyperlink" Target="http://ci25.actonsoftware.com/acton/form/2795/0011:d-0001/1/index.htm" TargetMode="External"/><Relationship Id="rId3" Type="http://schemas.openxmlformats.org/officeDocument/2006/relationships/image" Target="../media/image3.png"/><Relationship Id="rId7" Type="http://schemas.openxmlformats.org/officeDocument/2006/relationships/image" Target="../media/image6.jpeg"/><Relationship Id="rId2" Type="http://schemas.openxmlformats.org/officeDocument/2006/relationships/hyperlink" Target="http://ci25.actonsoftware.com/acton/form/2795/0010:d-0001/1/index.htm"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http://ci25.actonsoftware.com/acton/form/2795/000f:d-0001/1/index.htm" TargetMode="External"/><Relationship Id="rId10" Type="http://schemas.openxmlformats.org/officeDocument/2006/relationships/image" Target="../media/image8.jpeg"/><Relationship Id="rId4" Type="http://schemas.openxmlformats.org/officeDocument/2006/relationships/image" Target="../media/image4.jpeg"/><Relationship Id="rId9"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hyperlink" Target="http://www.hydro-int.com/UserFiles/downloads/UP-FLO%20SPEC-2015fnl.doc" TargetMode="External"/><Relationship Id="rId2" Type="http://schemas.openxmlformats.org/officeDocument/2006/relationships/image" Target="../media/image15.png"/><Relationship Id="rId1" Type="http://schemas.openxmlformats.org/officeDocument/2006/relationships/image" Target="../media/image1.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4</xdr:col>
      <xdr:colOff>123825</xdr:colOff>
      <xdr:row>0</xdr:row>
      <xdr:rowOff>9525</xdr:rowOff>
    </xdr:from>
    <xdr:to>
      <xdr:col>11</xdr:col>
      <xdr:colOff>133350</xdr:colOff>
      <xdr:row>2</xdr:row>
      <xdr:rowOff>438150</xdr:rowOff>
    </xdr:to>
    <xdr:pic>
      <xdr:nvPicPr>
        <xdr:cNvPr id="1025" name="Picture 5" descr="Blue Swirl Clear Backgroun.png">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2562225" y="9525"/>
          <a:ext cx="4276725" cy="790575"/>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180975</xdr:colOff>
      <xdr:row>0</xdr:row>
      <xdr:rowOff>161925</xdr:rowOff>
    </xdr:from>
    <xdr:to>
      <xdr:col>13</xdr:col>
      <xdr:colOff>581025</xdr:colOff>
      <xdr:row>2</xdr:row>
      <xdr:rowOff>371475</xdr:rowOff>
    </xdr:to>
    <xdr:pic>
      <xdr:nvPicPr>
        <xdr:cNvPr id="1029" name="Picture 9" descr="Hydro International Logo RGB.jpg">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86575" y="161925"/>
          <a:ext cx="16192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66675</xdr:colOff>
      <xdr:row>0</xdr:row>
      <xdr:rowOff>19049</xdr:rowOff>
    </xdr:from>
    <xdr:to>
      <xdr:col>10</xdr:col>
      <xdr:colOff>514349</xdr:colOff>
      <xdr:row>4</xdr:row>
      <xdr:rowOff>142874</xdr:rowOff>
    </xdr:to>
    <xdr:pic>
      <xdr:nvPicPr>
        <xdr:cNvPr id="2" name="Picture 1" descr="Blue Swirl Clear Backgroun.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1895475" y="19049"/>
          <a:ext cx="555307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3</xdr:col>
      <xdr:colOff>533400</xdr:colOff>
      <xdr:row>5</xdr:row>
      <xdr:rowOff>152401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525" y="0"/>
          <a:ext cx="2352675" cy="1104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chemeClr val="accent5">
                  <a:lumMod val="75000"/>
                </a:schemeClr>
              </a:solidFill>
              <a:latin typeface="Arial" pitchFamily="34" charset="0"/>
              <a:cs typeface="Arial" pitchFamily="34" charset="0"/>
            </a:rPr>
            <a:t>Up-Flo</a:t>
          </a:r>
          <a:r>
            <a:rPr kumimoji="0" lang="en-US" sz="20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a:t>
          </a:r>
          <a:r>
            <a:rPr lang="en-US" sz="2400" baseline="0">
              <a:solidFill>
                <a:schemeClr val="accent5">
                  <a:lumMod val="75000"/>
                </a:schemeClr>
              </a:solidFill>
              <a:latin typeface="Arial" pitchFamily="34" charset="0"/>
              <a:cs typeface="Arial" pitchFamily="34" charset="0"/>
            </a:rPr>
            <a:t>  Filter</a:t>
          </a:r>
        </a:p>
        <a:p>
          <a:r>
            <a:rPr lang="en-US" sz="1400" baseline="0">
              <a:solidFill>
                <a:schemeClr val="accent5">
                  <a:lumMod val="75000"/>
                </a:schemeClr>
              </a:solidFill>
              <a:latin typeface="Arial" pitchFamily="34" charset="0"/>
              <a:cs typeface="Arial" pitchFamily="34" charset="0"/>
            </a:rPr>
            <a:t>Sizing Calculator </a:t>
          </a:r>
          <a:r>
            <a:rPr lang="en-US" sz="1000" baseline="0">
              <a:solidFill>
                <a:srgbClr val="FF00FF"/>
              </a:solidFill>
              <a:latin typeface="Arial" pitchFamily="34" charset="0"/>
              <a:cs typeface="Arial" pitchFamily="34" charset="0"/>
            </a:rPr>
            <a:t>v3.0</a:t>
          </a:r>
        </a:p>
        <a:p>
          <a:endParaRPr lang="en-US" sz="1000" baseline="0">
            <a:solidFill>
              <a:schemeClr val="accent5">
                <a:lumMod val="75000"/>
              </a:schemeClr>
            </a:solidFill>
            <a:latin typeface="Arial" pitchFamily="34" charset="0"/>
            <a:cs typeface="Arial" pitchFamily="34" charset="0"/>
          </a:endParaRPr>
        </a:p>
      </xdr:txBody>
    </xdr:sp>
    <xdr:clientData/>
  </xdr:twoCellAnchor>
  <xdr:twoCellAnchor editAs="oneCell">
    <xdr:from>
      <xdr:col>10</xdr:col>
      <xdr:colOff>600074</xdr:colOff>
      <xdr:row>1</xdr:row>
      <xdr:rowOff>136772</xdr:rowOff>
    </xdr:from>
    <xdr:to>
      <xdr:col>10</xdr:col>
      <xdr:colOff>2288905</xdr:colOff>
      <xdr:row>4</xdr:row>
      <xdr:rowOff>161925</xdr:rowOff>
    </xdr:to>
    <xdr:pic>
      <xdr:nvPicPr>
        <xdr:cNvPr id="6" name="Picture 5" descr="Hydro International Logo RGB.pn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stretch>
          <a:fillRect/>
        </a:stretch>
      </xdr:blipFill>
      <xdr:spPr>
        <a:xfrm>
          <a:off x="7534274" y="327272"/>
          <a:ext cx="1688831" cy="596653"/>
        </a:xfrm>
        <a:prstGeom prst="rect">
          <a:avLst/>
        </a:prstGeom>
      </xdr:spPr>
    </xdr:pic>
    <xdr:clientData/>
  </xdr:twoCellAnchor>
  <xdr:twoCellAnchor editAs="oneCell">
    <xdr:from>
      <xdr:col>2</xdr:col>
      <xdr:colOff>428625</xdr:colOff>
      <xdr:row>11</xdr:row>
      <xdr:rowOff>114300</xdr:rowOff>
    </xdr:from>
    <xdr:to>
      <xdr:col>9</xdr:col>
      <xdr:colOff>346324</xdr:colOff>
      <xdr:row>35</xdr:row>
      <xdr:rowOff>9526</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4"/>
        <a:srcRect l="34431" t="19261" r="34419" b="26102"/>
        <a:stretch/>
      </xdr:blipFill>
      <xdr:spPr>
        <a:xfrm>
          <a:off x="1647825" y="2143125"/>
          <a:ext cx="4527799" cy="44672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1</xdr:row>
      <xdr:rowOff>95250</xdr:rowOff>
    </xdr:from>
    <xdr:to>
      <xdr:col>6</xdr:col>
      <xdr:colOff>295275</xdr:colOff>
      <xdr:row>3</xdr:row>
      <xdr:rowOff>142875</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8575" y="285750"/>
          <a:ext cx="39243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rgbClr val="395E85"/>
              </a:solidFill>
              <a:latin typeface="Arial" pitchFamily="34" charset="0"/>
              <a:cs typeface="Arial" pitchFamily="34" charset="0"/>
            </a:rPr>
            <a:t>Tell Us What You Think</a:t>
          </a:r>
          <a:endParaRPr lang="en-US" sz="1000" baseline="0">
            <a:solidFill>
              <a:srgbClr val="395E85"/>
            </a:solidFill>
            <a:latin typeface="Arial" pitchFamily="34" charset="0"/>
            <a:cs typeface="Arial" pitchFamily="34" charset="0"/>
          </a:endParaRPr>
        </a:p>
      </xdr:txBody>
    </xdr:sp>
    <xdr:clientData/>
  </xdr:twoCellAnchor>
  <xdr:twoCellAnchor>
    <xdr:from>
      <xdr:col>0</xdr:col>
      <xdr:colOff>76200</xdr:colOff>
      <xdr:row>3</xdr:row>
      <xdr:rowOff>180975</xdr:rowOff>
    </xdr:from>
    <xdr:to>
      <xdr:col>9</xdr:col>
      <xdr:colOff>28575</xdr:colOff>
      <xdr:row>4</xdr:row>
      <xdr:rowOff>0</xdr:rowOff>
    </xdr:to>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a:off x="76200" y="752475"/>
          <a:ext cx="5781675" cy="9525"/>
        </a:xfrm>
        <a:prstGeom prst="line">
          <a:avLst/>
        </a:prstGeom>
        <a:ln>
          <a:solidFill>
            <a:srgbClr val="395E8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276225</xdr:colOff>
      <xdr:row>1</xdr:row>
      <xdr:rowOff>0</xdr:rowOff>
    </xdr:from>
    <xdr:to>
      <xdr:col>10</xdr:col>
      <xdr:colOff>860156</xdr:colOff>
      <xdr:row>4</xdr:row>
      <xdr:rowOff>25153</xdr:rowOff>
    </xdr:to>
    <xdr:pic>
      <xdr:nvPicPr>
        <xdr:cNvPr id="10" name="Picture 9" descr="Hydro International Logo RGB.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5934075" y="190500"/>
          <a:ext cx="1688831" cy="596653"/>
        </a:xfrm>
        <a:prstGeom prst="rect">
          <a:avLst/>
        </a:prstGeom>
      </xdr:spPr>
    </xdr:pic>
    <xdr:clientData/>
  </xdr:twoCellAnchor>
  <xdr:twoCellAnchor>
    <xdr:from>
      <xdr:col>4</xdr:col>
      <xdr:colOff>161926</xdr:colOff>
      <xdr:row>11</xdr:row>
      <xdr:rowOff>104775</xdr:rowOff>
    </xdr:from>
    <xdr:to>
      <xdr:col>8</xdr:col>
      <xdr:colOff>85726</xdr:colOff>
      <xdr:row>15</xdr:row>
      <xdr:rowOff>19050</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2428876" y="1704975"/>
          <a:ext cx="2362200" cy="533400"/>
        </a:xfrm>
        <a:prstGeom prst="rect">
          <a:avLst/>
        </a:prstGeom>
        <a:solidFill>
          <a:schemeClr val="accent5">
            <a:lumMod val="20000"/>
            <a:lumOff val="80000"/>
          </a:schemeClr>
        </a:solidFill>
        <a:ln w="9525" cmpd="sng">
          <a:solidFill>
            <a:schemeClr val="accent5">
              <a:lumMod val="60000"/>
              <a:lumOff val="40000"/>
            </a:schemeClr>
          </a:solidFill>
        </a:ln>
        <a:effectLst>
          <a:outerShdw blurRad="50800" dist="50800" dir="2400000" algn="ctr" rotWithShape="0">
            <a:schemeClr val="bg1">
              <a:lumMod val="50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tIns="182880" rtlCol="0" anchor="t"/>
        <a:lstStyle/>
        <a:p>
          <a:pPr algn="ctr"/>
          <a:r>
            <a:rPr lang="en-US" sz="1100" b="1">
              <a:solidFill>
                <a:schemeClr val="accent5">
                  <a:lumMod val="50000"/>
                </a:schemeClr>
              </a:solidFill>
            </a:rPr>
            <a:t>Go</a:t>
          </a:r>
          <a:r>
            <a:rPr lang="en-US" sz="1100" b="1" baseline="0">
              <a:solidFill>
                <a:schemeClr val="accent5">
                  <a:lumMod val="50000"/>
                </a:schemeClr>
              </a:solidFill>
            </a:rPr>
            <a:t> to Feedback Form</a:t>
          </a:r>
          <a:endParaRPr lang="en-US" sz="1100" b="1">
            <a:solidFill>
              <a:schemeClr val="accent5">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139390</xdr:colOff>
      <xdr:row>0</xdr:row>
      <xdr:rowOff>9525</xdr:rowOff>
    </xdr:from>
    <xdr:to>
      <xdr:col>9</xdr:col>
      <xdr:colOff>650488</xdr:colOff>
      <xdr:row>7</xdr:row>
      <xdr:rowOff>11616</xdr:rowOff>
    </xdr:to>
    <xdr:pic>
      <xdr:nvPicPr>
        <xdr:cNvPr id="2049" name="Picture 1" descr="Blue Swirl Clear Backgroun.png">
          <a:extLst>
            <a:ext uri="{FF2B5EF4-FFF2-40B4-BE49-F238E27FC236}">
              <a16:creationId xmlns:a16="http://schemas.microsoft.com/office/drawing/2014/main" id="{00000000-0008-0000-0100-00000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3740305" y="9525"/>
          <a:ext cx="5412988" cy="1128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1242895</xdr:colOff>
      <xdr:row>2</xdr:row>
      <xdr:rowOff>69695</xdr:rowOff>
    </xdr:from>
    <xdr:to>
      <xdr:col>6</xdr:col>
      <xdr:colOff>753167</xdr:colOff>
      <xdr:row>7</xdr:row>
      <xdr:rowOff>129167</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486828" y="441402"/>
          <a:ext cx="4168229" cy="814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3200">
              <a:solidFill>
                <a:schemeClr val="accent5">
                  <a:lumMod val="75000"/>
                </a:schemeClr>
              </a:solidFill>
              <a:latin typeface="Arial" pitchFamily="34" charset="0"/>
              <a:cs typeface="Arial" pitchFamily="34" charset="0"/>
            </a:rPr>
            <a:t>Up-Flo</a:t>
          </a:r>
          <a:r>
            <a:rPr kumimoji="0" lang="en-US" sz="24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a:t>
          </a:r>
          <a:r>
            <a:rPr kumimoji="0" lang="en-US" sz="32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 </a:t>
          </a:r>
          <a:r>
            <a:rPr kumimoji="0" lang="en-US" sz="3200" b="0" i="0" u="none" strike="noStrike" kern="0" cap="none" spc="0" normalizeH="0" baseline="0" noProof="0">
              <a:ln>
                <a:noFill/>
              </a:ln>
              <a:solidFill>
                <a:schemeClr val="accent5">
                  <a:lumMod val="75000"/>
                </a:schemeClr>
              </a:solidFill>
              <a:effectLst/>
              <a:uLnTx/>
              <a:uFillTx/>
              <a:latin typeface="Arial" pitchFamily="34" charset="0"/>
              <a:ea typeface="+mn-ea"/>
              <a:cs typeface="Arial" pitchFamily="34" charset="0"/>
            </a:rPr>
            <a:t>Filter</a:t>
          </a:r>
          <a:r>
            <a:rPr lang="en-US" sz="3200" baseline="0">
              <a:solidFill>
                <a:schemeClr val="accent5">
                  <a:lumMod val="75000"/>
                </a:schemeClr>
              </a:solidFill>
              <a:latin typeface="Arial" pitchFamily="34" charset="0"/>
              <a:cs typeface="Arial" pitchFamily="34" charset="0"/>
            </a:rPr>
            <a:t> </a:t>
          </a:r>
        </a:p>
        <a:p>
          <a:r>
            <a:rPr lang="en-US" sz="1400" baseline="0">
              <a:solidFill>
                <a:schemeClr val="accent5">
                  <a:lumMod val="75000"/>
                </a:schemeClr>
              </a:solidFill>
              <a:latin typeface="Arial" pitchFamily="34" charset="0"/>
              <a:cs typeface="Arial" pitchFamily="34" charset="0"/>
            </a:rPr>
            <a:t>Sizing Calculator </a:t>
          </a:r>
          <a:r>
            <a:rPr lang="en-US" sz="1000" baseline="0">
              <a:solidFill>
                <a:srgbClr val="FF00FF"/>
              </a:solidFill>
              <a:latin typeface="Arial" pitchFamily="34" charset="0"/>
              <a:cs typeface="Arial" pitchFamily="34" charset="0"/>
            </a:rPr>
            <a:t>v3.0</a:t>
          </a:r>
        </a:p>
        <a:p>
          <a:endParaRPr lang="en-US" sz="1000" baseline="0">
            <a:solidFill>
              <a:srgbClr val="395E85"/>
            </a:solidFill>
            <a:latin typeface="Arial" pitchFamily="34" charset="0"/>
            <a:cs typeface="Arial" pitchFamily="34" charset="0"/>
          </a:endParaRPr>
        </a:p>
      </xdr:txBody>
    </xdr:sp>
    <xdr:clientData/>
  </xdr:twoCellAnchor>
  <xdr:twoCellAnchor>
    <xdr:from>
      <xdr:col>2</xdr:col>
      <xdr:colOff>1057275</xdr:colOff>
      <xdr:row>36</xdr:row>
      <xdr:rowOff>107284</xdr:rowOff>
    </xdr:from>
    <xdr:to>
      <xdr:col>5</xdr:col>
      <xdr:colOff>495300</xdr:colOff>
      <xdr:row>37</xdr:row>
      <xdr:rowOff>278782</xdr:rowOff>
    </xdr:to>
    <xdr:sp macro="" textlink="">
      <xdr:nvSpPr>
        <xdr:cNvPr id="29" name="TextBox 28">
          <a:hlinkClick xmlns:r="http://schemas.openxmlformats.org/officeDocument/2006/relationships" r:id="rId2"/>
          <a:extLst>
            <a:ext uri="{FF2B5EF4-FFF2-40B4-BE49-F238E27FC236}">
              <a16:creationId xmlns:a16="http://schemas.microsoft.com/office/drawing/2014/main" id="{00000000-0008-0000-0100-00001D000000}"/>
            </a:ext>
          </a:extLst>
        </xdr:cNvPr>
        <xdr:cNvSpPr txBox="1"/>
      </xdr:nvSpPr>
      <xdr:spPr>
        <a:xfrm>
          <a:off x="1301208" y="9074723"/>
          <a:ext cx="3236409" cy="473510"/>
        </a:xfrm>
        <a:prstGeom prst="rect">
          <a:avLst/>
        </a:prstGeom>
        <a:solidFill>
          <a:schemeClr val="accent2">
            <a:lumMod val="40000"/>
            <a:lumOff val="60000"/>
            <a:alpha val="50000"/>
          </a:schemeClr>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ctr"/>
          <a:r>
            <a:rPr lang="en-US" sz="1100" b="1">
              <a:solidFill>
                <a:srgbClr val="002060"/>
              </a:solidFill>
            </a:rPr>
            <a:t>Click</a:t>
          </a:r>
          <a:r>
            <a:rPr lang="en-US" sz="1100" b="1" baseline="0">
              <a:solidFill>
                <a:srgbClr val="002060"/>
              </a:solidFill>
            </a:rPr>
            <a:t> to </a:t>
          </a:r>
          <a:r>
            <a:rPr lang="en-US" sz="1100" b="1">
              <a:solidFill>
                <a:schemeClr val="accent5">
                  <a:lumMod val="75000"/>
                </a:schemeClr>
              </a:solidFill>
            </a:rPr>
            <a:t>Submit Your Design</a:t>
          </a:r>
          <a:r>
            <a:rPr lang="en-US" sz="1100" b="1" baseline="0">
              <a:solidFill>
                <a:schemeClr val="accent5">
                  <a:lumMod val="75000"/>
                </a:schemeClr>
              </a:solidFill>
            </a:rPr>
            <a:t> </a:t>
          </a:r>
          <a:r>
            <a:rPr lang="en-US" sz="1100" b="1">
              <a:solidFill>
                <a:srgbClr val="002060"/>
              </a:solidFill>
            </a:rPr>
            <a:t>for a Price Estimate and</a:t>
          </a:r>
          <a:r>
            <a:rPr lang="en-US" sz="1100" b="1" baseline="0">
              <a:solidFill>
                <a:srgbClr val="002060"/>
              </a:solidFill>
            </a:rPr>
            <a:t> a Complimentary Technical Review</a:t>
          </a:r>
          <a:endParaRPr lang="en-US" sz="1100" b="1">
            <a:solidFill>
              <a:srgbClr val="002060"/>
            </a:solidFill>
          </a:endParaRPr>
        </a:p>
      </xdr:txBody>
    </xdr:sp>
    <xdr:clientData/>
  </xdr:twoCellAnchor>
  <xdr:twoCellAnchor>
    <xdr:from>
      <xdr:col>5</xdr:col>
      <xdr:colOff>1672685</xdr:colOff>
      <xdr:row>26</xdr:row>
      <xdr:rowOff>25967</xdr:rowOff>
    </xdr:from>
    <xdr:to>
      <xdr:col>11</xdr:col>
      <xdr:colOff>705769</xdr:colOff>
      <xdr:row>35</xdr:row>
      <xdr:rowOff>255547</xdr:rowOff>
    </xdr:to>
    <xdr:pic>
      <xdr:nvPicPr>
        <xdr:cNvPr id="2078" name="Picture 37">
          <a:extLst>
            <a:ext uri="{FF2B5EF4-FFF2-40B4-BE49-F238E27FC236}">
              <a16:creationId xmlns:a16="http://schemas.microsoft.com/office/drawing/2014/main" id="{00000000-0008-0000-0100-00001E08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7488"/>
        <a:stretch/>
      </xdr:blipFill>
      <xdr:spPr bwMode="auto">
        <a:xfrm>
          <a:off x="5715002" y="5427339"/>
          <a:ext cx="5352108" cy="3493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789879</xdr:colOff>
      <xdr:row>34</xdr:row>
      <xdr:rowOff>58080</xdr:rowOff>
    </xdr:from>
    <xdr:to>
      <xdr:col>9</xdr:col>
      <xdr:colOff>46463</xdr:colOff>
      <xdr:row>35</xdr:row>
      <xdr:rowOff>58080</xdr:rowOff>
    </xdr:to>
    <xdr:sp macro="" textlink="">
      <xdr:nvSpPr>
        <xdr:cNvPr id="39" name="Rectangle 38">
          <a:extLst>
            <a:ext uri="{FF2B5EF4-FFF2-40B4-BE49-F238E27FC236}">
              <a16:creationId xmlns:a16="http://schemas.microsoft.com/office/drawing/2014/main" id="{00000000-0008-0000-0100-000027000000}"/>
            </a:ext>
          </a:extLst>
        </xdr:cNvPr>
        <xdr:cNvSpPr/>
      </xdr:nvSpPr>
      <xdr:spPr bwMode="auto">
        <a:xfrm>
          <a:off x="7503842" y="8375031"/>
          <a:ext cx="1045426" cy="348476"/>
        </a:xfrm>
        <a:prstGeom prst="rect">
          <a:avLst/>
        </a:prstGeom>
        <a:blipFill dpi="0" rotWithShape="1">
          <a:blip xmlns:r="http://schemas.openxmlformats.org/officeDocument/2006/relationships" r:embed="rId4" cstate="print">
            <a:alphaModFix amt="25000"/>
          </a:blip>
          <a:srcRect/>
          <a:tile tx="660400" ty="22225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515096</xdr:colOff>
      <xdr:row>25</xdr:row>
      <xdr:rowOff>99342</xdr:rowOff>
    </xdr:from>
    <xdr:to>
      <xdr:col>11</xdr:col>
      <xdr:colOff>358248</xdr:colOff>
      <xdr:row>26</xdr:row>
      <xdr:rowOff>136756</xdr:rowOff>
    </xdr:to>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8100248" y="5198702"/>
          <a:ext cx="2619341" cy="33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1100" b="1" baseline="0">
              <a:solidFill>
                <a:schemeClr val="tx1">
                  <a:lumMod val="75000"/>
                  <a:lumOff val="25000"/>
                </a:schemeClr>
              </a:solidFill>
              <a:latin typeface="Arial" pitchFamily="34" charset="0"/>
              <a:cs typeface="Arial" pitchFamily="34" charset="0"/>
            </a:rPr>
            <a:t> Up-Flo</a:t>
          </a:r>
          <a:r>
            <a:rPr lang="en-US" sz="1100" b="1" baseline="30000">
              <a:solidFill>
                <a:schemeClr val="tx1">
                  <a:lumMod val="75000"/>
                  <a:lumOff val="25000"/>
                </a:schemeClr>
              </a:solidFill>
              <a:latin typeface="Arial" pitchFamily="34" charset="0"/>
              <a:cs typeface="Arial" pitchFamily="34" charset="0"/>
            </a:rPr>
            <a:t>®</a:t>
          </a:r>
          <a:r>
            <a:rPr lang="en-US" sz="1100" b="1" baseline="0">
              <a:solidFill>
                <a:schemeClr val="tx1">
                  <a:lumMod val="75000"/>
                  <a:lumOff val="25000"/>
                </a:schemeClr>
              </a:solidFill>
              <a:latin typeface="Arial" pitchFamily="34" charset="0"/>
              <a:cs typeface="Arial" pitchFamily="34" charset="0"/>
            </a:rPr>
            <a:t> Filter</a:t>
          </a:r>
          <a:endParaRPr lang="en-US" sz="1100" b="1">
            <a:solidFill>
              <a:schemeClr val="tx1">
                <a:lumMod val="75000"/>
                <a:lumOff val="25000"/>
              </a:schemeClr>
            </a:solidFill>
            <a:latin typeface="Arial" pitchFamily="34" charset="0"/>
            <a:cs typeface="Arial" pitchFamily="34" charset="0"/>
          </a:endParaRPr>
        </a:p>
      </xdr:txBody>
    </xdr:sp>
    <xdr:clientData/>
  </xdr:twoCellAnchor>
  <xdr:twoCellAnchor>
    <xdr:from>
      <xdr:col>10</xdr:col>
      <xdr:colOff>200251</xdr:colOff>
      <xdr:row>30</xdr:row>
      <xdr:rowOff>127672</xdr:rowOff>
    </xdr:from>
    <xdr:to>
      <xdr:col>11</xdr:col>
      <xdr:colOff>425852</xdr:colOff>
      <xdr:row>31</xdr:row>
      <xdr:rowOff>102272</xdr:rowOff>
    </xdr:to>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9771714" y="7050721"/>
          <a:ext cx="1015479" cy="32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tx1">
                  <a:lumMod val="75000"/>
                  <a:lumOff val="25000"/>
                </a:schemeClr>
              </a:solidFill>
              <a:latin typeface="Arial" pitchFamily="34" charset="0"/>
              <a:cs typeface="Arial" pitchFamily="34" charset="0"/>
            </a:rPr>
            <a:t>Min. Depth = </a:t>
          </a:r>
        </a:p>
      </xdr:txBody>
    </xdr:sp>
    <xdr:clientData/>
  </xdr:twoCellAnchor>
  <xdr:twoCellAnchor>
    <xdr:from>
      <xdr:col>9</xdr:col>
      <xdr:colOff>986667</xdr:colOff>
      <xdr:row>33</xdr:row>
      <xdr:rowOff>104085</xdr:rowOff>
    </xdr:from>
    <xdr:to>
      <xdr:col>11</xdr:col>
      <xdr:colOff>395826</xdr:colOff>
      <xdr:row>34</xdr:row>
      <xdr:rowOff>180284</xdr:rowOff>
    </xdr:to>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9489472" y="8072561"/>
          <a:ext cx="1267695" cy="4246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a:solidFill>
                <a:schemeClr val="tx1">
                  <a:lumMod val="75000"/>
                  <a:lumOff val="25000"/>
                </a:schemeClr>
              </a:solidFill>
              <a:latin typeface="Arial" pitchFamily="34" charset="0"/>
              <a:cs typeface="Arial" pitchFamily="34" charset="0"/>
            </a:rPr>
            <a:t>Depth - Outlet Invert to Sump =</a:t>
          </a:r>
        </a:p>
      </xdr:txBody>
    </xdr:sp>
    <xdr:clientData/>
  </xdr:twoCellAnchor>
  <xdr:twoCellAnchor>
    <xdr:from>
      <xdr:col>9</xdr:col>
      <xdr:colOff>1057040</xdr:colOff>
      <xdr:row>7</xdr:row>
      <xdr:rowOff>85801</xdr:rowOff>
    </xdr:from>
    <xdr:to>
      <xdr:col>11</xdr:col>
      <xdr:colOff>598214</xdr:colOff>
      <xdr:row>8</xdr:row>
      <xdr:rowOff>174238</xdr:rowOff>
    </xdr:to>
    <xdr:sp macro="" textlink="">
      <xdr:nvSpPr>
        <xdr:cNvPr id="50" name="TextBox 49">
          <a:hlinkClick xmlns:r="http://schemas.openxmlformats.org/officeDocument/2006/relationships" r:id="rId5"/>
          <a:extLst>
            <a:ext uri="{FF2B5EF4-FFF2-40B4-BE49-F238E27FC236}">
              <a16:creationId xmlns:a16="http://schemas.microsoft.com/office/drawing/2014/main" id="{00000000-0008-0000-0100-000032000000}"/>
            </a:ext>
          </a:extLst>
        </xdr:cNvPr>
        <xdr:cNvSpPr txBox="1"/>
      </xdr:nvSpPr>
      <xdr:spPr>
        <a:xfrm>
          <a:off x="9559845" y="1212539"/>
          <a:ext cx="1399710" cy="390449"/>
        </a:xfrm>
        <a:prstGeom prst="rect">
          <a:avLst/>
        </a:prstGeom>
        <a:solidFill>
          <a:schemeClr val="bg1">
            <a:lumMod val="95000"/>
          </a:schemeClr>
        </a:solidFill>
        <a:ln w="6350" cmpd="sng">
          <a:solidFill>
            <a:schemeClr val="bg1">
              <a:lumMod val="75000"/>
            </a:schemeClr>
          </a:solidFill>
        </a:ln>
        <a:effectLst>
          <a:outerShdw blurRad="50800" dist="88900" dir="1920000" sx="82000" sy="82000" algn="ctr" rotWithShape="0">
            <a:schemeClr val="bg1">
              <a:lumMod val="65000"/>
            </a:schemeClr>
          </a:outerShdw>
        </a:effectLst>
        <a:scene3d>
          <a:camera prst="orthographicFront"/>
          <a:lightRig rig="threePt" dir="t">
            <a:rot lat="0" lon="0" rev="3600000"/>
          </a:lightRig>
        </a:scene3d>
        <a:sp3d extrusionH="6350" contourW="12700" prstMaterial="metal">
          <a:contourClr>
            <a:schemeClr val="bg1">
              <a:lumMod val="85000"/>
            </a:schemeClr>
          </a:contourClr>
        </a:sp3d>
      </xdr:spPr>
      <xdr:style>
        <a:lnRef idx="0">
          <a:scrgbClr r="0" g="0" b="0"/>
        </a:lnRef>
        <a:fillRef idx="0">
          <a:scrgbClr r="0" g="0" b="0"/>
        </a:fillRef>
        <a:effectRef idx="0">
          <a:scrgbClr r="0" g="0" b="0"/>
        </a:effectRef>
        <a:fontRef idx="minor">
          <a:schemeClr val="dk1"/>
        </a:fontRef>
      </xdr:style>
      <xdr:txBody>
        <a:bodyPr vertOverflow="clip" wrap="square" tIns="0" bIns="0" rtlCol="0" anchor="ctr"/>
        <a:lstStyle/>
        <a:p>
          <a:pPr algn="ctr"/>
          <a:r>
            <a:rPr lang="en-US" sz="1000" b="0">
              <a:solidFill>
                <a:schemeClr val="accent5">
                  <a:lumMod val="75000"/>
                </a:schemeClr>
              </a:solidFill>
              <a:latin typeface="Verdana" pitchFamily="34" charset="0"/>
              <a:ea typeface="Verdana" pitchFamily="34" charset="0"/>
              <a:cs typeface="Verdana" pitchFamily="34" charset="0"/>
            </a:rPr>
            <a:t>Click to Check for Newer</a:t>
          </a:r>
          <a:r>
            <a:rPr lang="en-US" sz="1000" b="0" baseline="0">
              <a:solidFill>
                <a:schemeClr val="accent5">
                  <a:lumMod val="75000"/>
                </a:schemeClr>
              </a:solidFill>
              <a:latin typeface="Verdana" pitchFamily="34" charset="0"/>
              <a:ea typeface="Verdana" pitchFamily="34" charset="0"/>
              <a:cs typeface="Verdana" pitchFamily="34" charset="0"/>
            </a:rPr>
            <a:t> Version</a:t>
          </a:r>
          <a:endParaRPr lang="en-US" sz="1000" b="0">
            <a:solidFill>
              <a:schemeClr val="accent5">
                <a:lumMod val="75000"/>
              </a:schemeClr>
            </a:solidFill>
            <a:latin typeface="Verdana" pitchFamily="34" charset="0"/>
            <a:ea typeface="Verdana" pitchFamily="34" charset="0"/>
            <a:cs typeface="Verdana" pitchFamily="34" charset="0"/>
          </a:endParaRPr>
        </a:p>
      </xdr:txBody>
    </xdr:sp>
    <xdr:clientData/>
  </xdr:twoCellAnchor>
  <xdr:twoCellAnchor editAs="oneCell">
    <xdr:from>
      <xdr:col>1</xdr:col>
      <xdr:colOff>197937</xdr:colOff>
      <xdr:row>0</xdr:row>
      <xdr:rowOff>174237</xdr:rowOff>
    </xdr:from>
    <xdr:to>
      <xdr:col>2</xdr:col>
      <xdr:colOff>1132214</xdr:colOff>
      <xdr:row>7</xdr:row>
      <xdr:rowOff>209084</xdr:rowOff>
    </xdr:to>
    <xdr:pic>
      <xdr:nvPicPr>
        <xdr:cNvPr id="2057" name="Picture 19" descr="HX.png">
          <a:extLst>
            <a:ext uri="{FF2B5EF4-FFF2-40B4-BE49-F238E27FC236}">
              <a16:creationId xmlns:a16="http://schemas.microsoft.com/office/drawing/2014/main" id="{00000000-0008-0000-0100-0000090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937" y="174237"/>
          <a:ext cx="1178210" cy="1161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425604</xdr:colOff>
      <xdr:row>27</xdr:row>
      <xdr:rowOff>21431</xdr:rowOff>
    </xdr:from>
    <xdr:to>
      <xdr:col>6</xdr:col>
      <xdr:colOff>23232</xdr:colOff>
      <xdr:row>27</xdr:row>
      <xdr:rowOff>326231</xdr:rowOff>
    </xdr:to>
    <xdr:sp macro="" textlink="'3a-DWG 1-6 Modules (Online)'!P3">
      <xdr:nvSpPr>
        <xdr:cNvPr id="25" name="TextBox 24">
          <a:extLst>
            <a:ext uri="{FF2B5EF4-FFF2-40B4-BE49-F238E27FC236}">
              <a16:creationId xmlns:a16="http://schemas.microsoft.com/office/drawing/2014/main" id="{00000000-0008-0000-0100-000019000000}"/>
            </a:ext>
          </a:extLst>
        </xdr:cNvPr>
        <xdr:cNvSpPr txBox="1"/>
      </xdr:nvSpPr>
      <xdr:spPr>
        <a:xfrm>
          <a:off x="4026519" y="5899053"/>
          <a:ext cx="89860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B8EDC38-D6EC-45B7-A322-5D102603AEFD}"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19050</xdr:colOff>
      <xdr:row>29</xdr:row>
      <xdr:rowOff>30957</xdr:rowOff>
    </xdr:from>
    <xdr:to>
      <xdr:col>5</xdr:col>
      <xdr:colOff>1730762</xdr:colOff>
      <xdr:row>29</xdr:row>
      <xdr:rowOff>335757</xdr:rowOff>
    </xdr:to>
    <xdr:sp macro="" textlink="'3a-DWG 1-6 Modules (Online)'!P6">
      <xdr:nvSpPr>
        <xdr:cNvPr id="26" name="TextBox 25">
          <a:extLst>
            <a:ext uri="{FF2B5EF4-FFF2-40B4-BE49-F238E27FC236}">
              <a16:creationId xmlns:a16="http://schemas.microsoft.com/office/drawing/2014/main" id="{00000000-0008-0000-0100-00001A000000}"/>
            </a:ext>
          </a:extLst>
        </xdr:cNvPr>
        <xdr:cNvSpPr txBox="1"/>
      </xdr:nvSpPr>
      <xdr:spPr>
        <a:xfrm>
          <a:off x="4061367" y="6605530"/>
          <a:ext cx="171171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BFE0E24-C437-47E8-A3CE-070B5E141C23}"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57150</xdr:colOff>
      <xdr:row>31</xdr:row>
      <xdr:rowOff>43656</xdr:rowOff>
    </xdr:from>
    <xdr:to>
      <xdr:col>6</xdr:col>
      <xdr:colOff>3175</xdr:colOff>
      <xdr:row>31</xdr:row>
      <xdr:rowOff>348456</xdr:rowOff>
    </xdr:to>
    <xdr:sp macro="" textlink="'3a-DWG 1-6 Modules (Online)'!P10">
      <xdr:nvSpPr>
        <xdr:cNvPr id="28" name="TextBox 27">
          <a:extLst>
            <a:ext uri="{FF2B5EF4-FFF2-40B4-BE49-F238E27FC236}">
              <a16:creationId xmlns:a16="http://schemas.microsoft.com/office/drawing/2014/main" id="{00000000-0008-0000-0100-00001C000000}"/>
            </a:ext>
          </a:extLst>
        </xdr:cNvPr>
        <xdr:cNvSpPr txBox="1"/>
      </xdr:nvSpPr>
      <xdr:spPr>
        <a:xfrm>
          <a:off x="4197350" y="6800056"/>
          <a:ext cx="10382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503FEC8-2133-4D6C-B1C8-8C5B9865DC57}"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31750</xdr:colOff>
      <xdr:row>33</xdr:row>
      <xdr:rowOff>20428</xdr:rowOff>
    </xdr:from>
    <xdr:to>
      <xdr:col>6</xdr:col>
      <xdr:colOff>852</xdr:colOff>
      <xdr:row>33</xdr:row>
      <xdr:rowOff>325228</xdr:rowOff>
    </xdr:to>
    <xdr:sp macro="" textlink="'3a-DWG 1-6 Modules (Online)'!P9">
      <xdr:nvSpPr>
        <xdr:cNvPr id="30" name="TextBox 29">
          <a:extLst>
            <a:ext uri="{FF2B5EF4-FFF2-40B4-BE49-F238E27FC236}">
              <a16:creationId xmlns:a16="http://schemas.microsoft.com/office/drawing/2014/main" id="{00000000-0008-0000-0100-00001E000000}"/>
            </a:ext>
          </a:extLst>
        </xdr:cNvPr>
        <xdr:cNvSpPr txBox="1"/>
      </xdr:nvSpPr>
      <xdr:spPr>
        <a:xfrm>
          <a:off x="4074067" y="7640428"/>
          <a:ext cx="8286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E8C8C03-ECCA-4320-AA33-B018BE82E8BB}"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31750</xdr:colOff>
      <xdr:row>34</xdr:row>
      <xdr:rowOff>32044</xdr:rowOff>
    </xdr:from>
    <xdr:to>
      <xdr:col>6</xdr:col>
      <xdr:colOff>852</xdr:colOff>
      <xdr:row>34</xdr:row>
      <xdr:rowOff>336844</xdr:rowOff>
    </xdr:to>
    <xdr:sp macro="" textlink="'3a-DWG 1-6 Modules (Online)'!Q12">
      <xdr:nvSpPr>
        <xdr:cNvPr id="31" name="TextBox 30">
          <a:extLst>
            <a:ext uri="{FF2B5EF4-FFF2-40B4-BE49-F238E27FC236}">
              <a16:creationId xmlns:a16="http://schemas.microsoft.com/office/drawing/2014/main" id="{00000000-0008-0000-0100-00001F000000}"/>
            </a:ext>
          </a:extLst>
        </xdr:cNvPr>
        <xdr:cNvSpPr txBox="1"/>
      </xdr:nvSpPr>
      <xdr:spPr>
        <a:xfrm>
          <a:off x="4074067" y="8000520"/>
          <a:ext cx="8286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40A88D19-062C-4957-BA5C-AB7D4CE0C4F6}"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44450</xdr:colOff>
      <xdr:row>35</xdr:row>
      <xdr:rowOff>18261</xdr:rowOff>
    </xdr:from>
    <xdr:to>
      <xdr:col>5</xdr:col>
      <xdr:colOff>1707531</xdr:colOff>
      <xdr:row>35</xdr:row>
      <xdr:rowOff>323061</xdr:rowOff>
    </xdr:to>
    <xdr:sp macro="" textlink="'3a-DWG 1-6 Modules (Online)'!Q13">
      <xdr:nvSpPr>
        <xdr:cNvPr id="32" name="TextBox 31">
          <a:extLst>
            <a:ext uri="{FF2B5EF4-FFF2-40B4-BE49-F238E27FC236}">
              <a16:creationId xmlns:a16="http://schemas.microsoft.com/office/drawing/2014/main" id="{00000000-0008-0000-0100-000020000000}"/>
            </a:ext>
          </a:extLst>
        </xdr:cNvPr>
        <xdr:cNvSpPr txBox="1"/>
      </xdr:nvSpPr>
      <xdr:spPr>
        <a:xfrm>
          <a:off x="4086767" y="8335212"/>
          <a:ext cx="166308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61EF21DF-F01E-4786-941C-45740D71CAEB}"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7</xdr:col>
      <xdr:colOff>495748</xdr:colOff>
      <xdr:row>25</xdr:row>
      <xdr:rowOff>92981</xdr:rowOff>
    </xdr:from>
    <xdr:to>
      <xdr:col>8</xdr:col>
      <xdr:colOff>801501</xdr:colOff>
      <xdr:row>26</xdr:row>
      <xdr:rowOff>141080</xdr:rowOff>
    </xdr:to>
    <xdr:sp macro="" textlink="'3a-DWG 1-6 Modules (Online)'!P3">
      <xdr:nvSpPr>
        <xdr:cNvPr id="33" name="TextBox 32">
          <a:extLst>
            <a:ext uri="{FF2B5EF4-FFF2-40B4-BE49-F238E27FC236}">
              <a16:creationId xmlns:a16="http://schemas.microsoft.com/office/drawing/2014/main" id="{00000000-0008-0000-0100-000021000000}"/>
            </a:ext>
          </a:extLst>
        </xdr:cNvPr>
        <xdr:cNvSpPr txBox="1"/>
      </xdr:nvSpPr>
      <xdr:spPr>
        <a:xfrm>
          <a:off x="7209711" y="5192341"/>
          <a:ext cx="1176942" cy="35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190117BF-8ADC-4CA2-9BA8-D8347B697143}" type="TxLink">
            <a:rPr lang="en-US" sz="1100" b="1" i="0" u="none" strike="noStrike">
              <a:solidFill>
                <a:schemeClr val="tx1">
                  <a:lumMod val="75000"/>
                  <a:lumOff val="25000"/>
                </a:schemeClr>
              </a:solidFill>
              <a:latin typeface="Arial" pitchFamily="34" charset="0"/>
              <a:cs typeface="Arial" pitchFamily="34" charset="0"/>
            </a:rPr>
            <a:pPr algn="ctr"/>
            <a:t> -- </a:t>
          </a:fld>
          <a:endParaRPr lang="en-US" sz="1100" b="1">
            <a:solidFill>
              <a:schemeClr val="tx1">
                <a:lumMod val="75000"/>
                <a:lumOff val="25000"/>
              </a:schemeClr>
            </a:solidFill>
            <a:latin typeface="Arial" pitchFamily="34" charset="0"/>
            <a:cs typeface="Arial" pitchFamily="34" charset="0"/>
          </a:endParaRPr>
        </a:p>
      </xdr:txBody>
    </xdr:sp>
    <xdr:clientData/>
  </xdr:twoCellAnchor>
  <xdr:twoCellAnchor>
    <xdr:from>
      <xdr:col>11</xdr:col>
      <xdr:colOff>225328</xdr:colOff>
      <xdr:row>30</xdr:row>
      <xdr:rowOff>98073</xdr:rowOff>
    </xdr:from>
    <xdr:to>
      <xdr:col>12</xdr:col>
      <xdr:colOff>40636</xdr:colOff>
      <xdr:row>31</xdr:row>
      <xdr:rowOff>50448</xdr:rowOff>
    </xdr:to>
    <xdr:sp macro="" textlink="'3a-DWG 1-6 Modules (Online)'!Q12">
      <xdr:nvSpPr>
        <xdr:cNvPr id="35" name="TextBox 34">
          <a:extLst>
            <a:ext uri="{FF2B5EF4-FFF2-40B4-BE49-F238E27FC236}">
              <a16:creationId xmlns:a16="http://schemas.microsoft.com/office/drawing/2014/main" id="{00000000-0008-0000-0100-000023000000}"/>
            </a:ext>
          </a:extLst>
        </xdr:cNvPr>
        <xdr:cNvSpPr txBox="1"/>
      </xdr:nvSpPr>
      <xdr:spPr>
        <a:xfrm>
          <a:off x="10586669" y="7021122"/>
          <a:ext cx="640034" cy="30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F61ED83-F55A-42CF-A521-01829CF5BF29}" type="TxLink">
            <a:rPr lang="en-US" sz="1100" b="0" i="0" u="none" strike="noStrike">
              <a:solidFill>
                <a:srgbClr val="000000"/>
              </a:solidFill>
              <a:latin typeface="Calibri"/>
              <a:cs typeface="Calibri"/>
            </a:rPr>
            <a:pPr algn="ctr"/>
            <a:t> -- </a:t>
          </a:fld>
          <a:endParaRPr lang="en-US" sz="1100">
            <a:latin typeface="Arial" pitchFamily="34" charset="0"/>
            <a:cs typeface="Arial" pitchFamily="34" charset="0"/>
          </a:endParaRPr>
        </a:p>
      </xdr:txBody>
    </xdr:sp>
    <xdr:clientData/>
  </xdr:twoCellAnchor>
  <xdr:twoCellAnchor>
    <xdr:from>
      <xdr:col>10</xdr:col>
      <xdr:colOff>785496</xdr:colOff>
      <xdr:row>33</xdr:row>
      <xdr:rowOff>258028</xdr:rowOff>
    </xdr:from>
    <xdr:to>
      <xdr:col>11</xdr:col>
      <xdr:colOff>789866</xdr:colOff>
      <xdr:row>34</xdr:row>
      <xdr:rowOff>208589</xdr:rowOff>
    </xdr:to>
    <xdr:sp macro="" textlink="'3a-DWG 1-6 Modules (Online)'!Q13">
      <xdr:nvSpPr>
        <xdr:cNvPr id="36" name="TextBox 35">
          <a:extLst>
            <a:ext uri="{FF2B5EF4-FFF2-40B4-BE49-F238E27FC236}">
              <a16:creationId xmlns:a16="http://schemas.microsoft.com/office/drawing/2014/main" id="{00000000-0008-0000-0100-000024000000}"/>
            </a:ext>
          </a:extLst>
        </xdr:cNvPr>
        <xdr:cNvSpPr txBox="1"/>
      </xdr:nvSpPr>
      <xdr:spPr>
        <a:xfrm>
          <a:off x="10356959" y="8226504"/>
          <a:ext cx="794248" cy="299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AB4734FA-C194-4B2C-B950-958AAA5634BF}"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7</xdr:col>
      <xdr:colOff>530385</xdr:colOff>
      <xdr:row>27</xdr:row>
      <xdr:rowOff>139306</xdr:rowOff>
    </xdr:from>
    <xdr:to>
      <xdr:col>9</xdr:col>
      <xdr:colOff>720885</xdr:colOff>
      <xdr:row>28</xdr:row>
      <xdr:rowOff>133044</xdr:rowOff>
    </xdr:to>
    <xdr:sp macro="" textlink="$X$30">
      <xdr:nvSpPr>
        <xdr:cNvPr id="49" name="TextBox 48">
          <a:extLst>
            <a:ext uri="{FF2B5EF4-FFF2-40B4-BE49-F238E27FC236}">
              <a16:creationId xmlns:a16="http://schemas.microsoft.com/office/drawing/2014/main" id="{00000000-0008-0000-0100-000031000000}"/>
            </a:ext>
          </a:extLst>
        </xdr:cNvPr>
        <xdr:cNvSpPr txBox="1"/>
      </xdr:nvSpPr>
      <xdr:spPr>
        <a:xfrm>
          <a:off x="7128190" y="6016928"/>
          <a:ext cx="1979341" cy="342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B84A3110-8BA0-4B29-AF2C-16AD2F43FA76}" type="TxLink">
            <a:rPr lang="en-US" sz="1100" b="0" i="0" u="none" strike="noStrike">
              <a:solidFill>
                <a:srgbClr val="000000"/>
              </a:solidFill>
              <a:latin typeface="Calibri"/>
              <a:cs typeface="Calibri"/>
            </a:rPr>
            <a:pPr algn="l"/>
            <a:t> </a:t>
          </a:fld>
          <a:endParaRPr lang="en-US" sz="1000" b="1">
            <a:solidFill>
              <a:srgbClr val="FF0000"/>
            </a:solidFill>
            <a:latin typeface="Arial" pitchFamily="34" charset="0"/>
            <a:cs typeface="Arial" pitchFamily="34" charset="0"/>
          </a:endParaRPr>
        </a:p>
      </xdr:txBody>
    </xdr:sp>
    <xdr:clientData/>
  </xdr:twoCellAnchor>
  <xdr:twoCellAnchor editAs="oneCell">
    <xdr:from>
      <xdr:col>9</xdr:col>
      <xdr:colOff>915562</xdr:colOff>
      <xdr:row>1</xdr:row>
      <xdr:rowOff>99663</xdr:rowOff>
    </xdr:from>
    <xdr:to>
      <xdr:col>11</xdr:col>
      <xdr:colOff>677438</xdr:colOff>
      <xdr:row>4</xdr:row>
      <xdr:rowOff>99663</xdr:rowOff>
    </xdr:to>
    <xdr:pic>
      <xdr:nvPicPr>
        <xdr:cNvPr id="2070" name="Picture 43" descr="Hydro International Logo RGB.jpg">
          <a:extLst>
            <a:ext uri="{FF2B5EF4-FFF2-40B4-BE49-F238E27FC236}">
              <a16:creationId xmlns:a16="http://schemas.microsoft.com/office/drawing/2014/main" id="{00000000-0008-0000-0100-0000160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02208" y="285517"/>
          <a:ext cx="1620412" cy="55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225554</xdr:colOff>
      <xdr:row>9</xdr:row>
      <xdr:rowOff>96030</xdr:rowOff>
    </xdr:from>
    <xdr:to>
      <xdr:col>11</xdr:col>
      <xdr:colOff>418170</xdr:colOff>
      <xdr:row>14</xdr:row>
      <xdr:rowOff>47449</xdr:rowOff>
    </xdr:to>
    <xdr:pic>
      <xdr:nvPicPr>
        <xdr:cNvPr id="2071" name="Picture 4">
          <a:hlinkClick xmlns:r="http://schemas.openxmlformats.org/officeDocument/2006/relationships" r:id="rId8"/>
          <a:extLst>
            <a:ext uri="{FF2B5EF4-FFF2-40B4-BE49-F238E27FC236}">
              <a16:creationId xmlns:a16="http://schemas.microsoft.com/office/drawing/2014/main" id="{00000000-0008-0000-0100-000017080000}"/>
            </a:ext>
          </a:extLst>
        </xdr:cNvPr>
        <xdr:cNvPicPr>
          <a:picLocks noChangeAspect="1" noChangeArrowheads="1"/>
        </xdr:cNvPicPr>
      </xdr:nvPicPr>
      <xdr:blipFill>
        <a:blip xmlns:r="http://schemas.openxmlformats.org/officeDocument/2006/relationships" r:embed="rId9" cstate="print">
          <a:duotone>
            <a:schemeClr val="accent5">
              <a:shade val="45000"/>
              <a:satMod val="135000"/>
            </a:schemeClr>
            <a:prstClr val="white"/>
          </a:duotone>
          <a:extLst>
            <a:ext uri="{28A0092B-C50C-407E-A947-70E740481C1C}">
              <a14:useLocalDpi xmlns:a14="http://schemas.microsoft.com/office/drawing/2010/main" val="0"/>
            </a:ext>
          </a:extLst>
        </a:blip>
        <a:srcRect l="15007" t="19792" r="68558" b="22527"/>
        <a:stretch>
          <a:fillRect/>
        </a:stretch>
      </xdr:blipFill>
      <xdr:spPr bwMode="auto">
        <a:xfrm>
          <a:off x="9680859" y="1757097"/>
          <a:ext cx="982494" cy="950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7</xdr:col>
      <xdr:colOff>543896</xdr:colOff>
      <xdr:row>26</xdr:row>
      <xdr:rowOff>35917</xdr:rowOff>
    </xdr:from>
    <xdr:to>
      <xdr:col>9</xdr:col>
      <xdr:colOff>1033812</xdr:colOff>
      <xdr:row>26</xdr:row>
      <xdr:rowOff>346150</xdr:rowOff>
    </xdr:to>
    <xdr:sp macro="" textlink="W53">
      <xdr:nvSpPr>
        <xdr:cNvPr id="46" name="TextBox 45">
          <a:extLst>
            <a:ext uri="{FF2B5EF4-FFF2-40B4-BE49-F238E27FC236}">
              <a16:creationId xmlns:a16="http://schemas.microsoft.com/office/drawing/2014/main" id="{00000000-0008-0000-0100-00002E000000}"/>
            </a:ext>
          </a:extLst>
        </xdr:cNvPr>
        <xdr:cNvSpPr txBox="1"/>
      </xdr:nvSpPr>
      <xdr:spPr>
        <a:xfrm>
          <a:off x="7257859" y="5437289"/>
          <a:ext cx="2278758" cy="31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fld id="{52C8F918-4EF2-4AD5-B879-8C90B83AC524}" type="TxLink">
            <a:rPr lang="en-US" sz="1100" b="1" i="0" u="none" strike="noStrike" baseline="0">
              <a:solidFill>
                <a:schemeClr val="tx1">
                  <a:lumMod val="75000"/>
                  <a:lumOff val="25000"/>
                </a:schemeClr>
              </a:solidFill>
              <a:latin typeface="Arial" pitchFamily="34" charset="0"/>
              <a:cs typeface="Arial" pitchFamily="34" charset="0"/>
            </a:rPr>
            <a:pPr algn="l"/>
            <a:t>Offline System Recommended</a:t>
          </a:fld>
          <a:endParaRPr lang="en-US" sz="1100" b="1">
            <a:solidFill>
              <a:schemeClr val="tx1">
                <a:lumMod val="75000"/>
                <a:lumOff val="25000"/>
              </a:schemeClr>
            </a:solidFill>
            <a:latin typeface="Arial" pitchFamily="34" charset="0"/>
            <a:cs typeface="Arial" pitchFamily="34" charset="0"/>
          </a:endParaRPr>
        </a:p>
      </xdr:txBody>
    </xdr:sp>
    <xdr:clientData/>
  </xdr:twoCellAnchor>
  <xdr:twoCellAnchor>
    <xdr:from>
      <xdr:col>10</xdr:col>
      <xdr:colOff>725299</xdr:colOff>
      <xdr:row>32</xdr:row>
      <xdr:rowOff>94088</xdr:rowOff>
    </xdr:from>
    <xdr:to>
      <xdr:col>12</xdr:col>
      <xdr:colOff>46469</xdr:colOff>
      <xdr:row>33</xdr:row>
      <xdr:rowOff>34848</xdr:rowOff>
    </xdr:to>
    <xdr:sp macro="" textlink="'3a-DWG 1-6 Modules (Online)'!P20">
      <xdr:nvSpPr>
        <xdr:cNvPr id="47" name="TextBox 46">
          <a:extLst>
            <a:ext uri="{FF2B5EF4-FFF2-40B4-BE49-F238E27FC236}">
              <a16:creationId xmlns:a16="http://schemas.microsoft.com/office/drawing/2014/main" id="{00000000-0008-0000-0100-00002F000000}"/>
            </a:ext>
          </a:extLst>
        </xdr:cNvPr>
        <xdr:cNvSpPr txBox="1"/>
      </xdr:nvSpPr>
      <xdr:spPr>
        <a:xfrm>
          <a:off x="10296762" y="7714088"/>
          <a:ext cx="935774" cy="289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D0FF329A-0123-403C-8ED4-C2386ED82E17}" type="TxLink">
            <a:rPr lang="en-US" sz="1100" b="1" i="0" u="none" strike="noStrike">
              <a:solidFill>
                <a:srgbClr val="FF0000"/>
              </a:solidFill>
              <a:latin typeface="Calibri"/>
              <a:cs typeface="Calibri"/>
            </a:rPr>
            <a:pPr/>
            <a:t> -- </a:t>
          </a:fld>
          <a:endParaRPr lang="en-US" sz="1100" b="1">
            <a:solidFill>
              <a:srgbClr val="FF0000"/>
            </a:solidFill>
          </a:endParaRPr>
        </a:p>
      </xdr:txBody>
    </xdr:sp>
    <xdr:clientData/>
  </xdr:twoCellAnchor>
  <xdr:twoCellAnchor>
    <xdr:from>
      <xdr:col>5</xdr:col>
      <xdr:colOff>32835</xdr:colOff>
      <xdr:row>32</xdr:row>
      <xdr:rowOff>18256</xdr:rowOff>
    </xdr:from>
    <xdr:to>
      <xdr:col>5</xdr:col>
      <xdr:colOff>1730762</xdr:colOff>
      <xdr:row>32</xdr:row>
      <xdr:rowOff>323056</xdr:rowOff>
    </xdr:to>
    <xdr:sp macro="" textlink="'3a-DWG 1-6 Modules (Online)'!P4">
      <xdr:nvSpPr>
        <xdr:cNvPr id="27" name="TextBox 26">
          <a:extLst>
            <a:ext uri="{FF2B5EF4-FFF2-40B4-BE49-F238E27FC236}">
              <a16:creationId xmlns:a16="http://schemas.microsoft.com/office/drawing/2014/main" id="{00000000-0008-0000-0100-00001B000000}"/>
            </a:ext>
          </a:extLst>
        </xdr:cNvPr>
        <xdr:cNvSpPr txBox="1"/>
      </xdr:nvSpPr>
      <xdr:spPr>
        <a:xfrm>
          <a:off x="4075152" y="7289780"/>
          <a:ext cx="169792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D912572E-219A-4BA9-BA8E-497A499EB08F}"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4</xdr:col>
      <xdr:colOff>426996</xdr:colOff>
      <xdr:row>28</xdr:row>
      <xdr:rowOff>22827</xdr:rowOff>
    </xdr:from>
    <xdr:to>
      <xdr:col>6</xdr:col>
      <xdr:colOff>24624</xdr:colOff>
      <xdr:row>28</xdr:row>
      <xdr:rowOff>327627</xdr:rowOff>
    </xdr:to>
    <xdr:sp macro="" textlink="'3a-DWG 1-6 Modules (Online)'!R2">
      <xdr:nvSpPr>
        <xdr:cNvPr id="34" name="TextBox 33">
          <a:extLst>
            <a:ext uri="{FF2B5EF4-FFF2-40B4-BE49-F238E27FC236}">
              <a16:creationId xmlns:a16="http://schemas.microsoft.com/office/drawing/2014/main" id="{00000000-0008-0000-0100-000022000000}"/>
            </a:ext>
          </a:extLst>
        </xdr:cNvPr>
        <xdr:cNvSpPr txBox="1"/>
      </xdr:nvSpPr>
      <xdr:spPr>
        <a:xfrm>
          <a:off x="4027911" y="6248925"/>
          <a:ext cx="178140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1B6D158-3B9C-4C25-9CAD-35E25CABDF40}"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5</xdr:col>
      <xdr:colOff>57150</xdr:colOff>
      <xdr:row>30</xdr:row>
      <xdr:rowOff>43656</xdr:rowOff>
    </xdr:from>
    <xdr:to>
      <xdr:col>6</xdr:col>
      <xdr:colOff>3175</xdr:colOff>
      <xdr:row>30</xdr:row>
      <xdr:rowOff>348456</xdr:rowOff>
    </xdr:to>
    <xdr:sp macro="" textlink="'3a-DWG 1-6 Modules (Online)'!P11">
      <xdr:nvSpPr>
        <xdr:cNvPr id="37" name="TextBox 36">
          <a:extLst>
            <a:ext uri="{FF2B5EF4-FFF2-40B4-BE49-F238E27FC236}">
              <a16:creationId xmlns:a16="http://schemas.microsoft.com/office/drawing/2014/main" id="{00000000-0008-0000-0100-000025000000}"/>
            </a:ext>
          </a:extLst>
        </xdr:cNvPr>
        <xdr:cNvSpPr txBox="1"/>
      </xdr:nvSpPr>
      <xdr:spPr>
        <a:xfrm>
          <a:off x="4099467" y="7315180"/>
          <a:ext cx="168840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9669573C-C82E-4C03-B1C6-F70EDC948BFC}" type="TxLink">
            <a:rPr lang="en-US" sz="1100" b="0" i="0" u="none" strike="noStrike">
              <a:solidFill>
                <a:srgbClr val="000000"/>
              </a:solidFill>
              <a:latin typeface="Arial" pitchFamily="34" charset="0"/>
              <a:cs typeface="Arial" pitchFamily="34" charset="0"/>
            </a:rPr>
            <a:pPr algn="ctr"/>
            <a:t> -- </a:t>
          </a:fld>
          <a:endParaRPr lang="en-US" sz="1100">
            <a:latin typeface="Arial" pitchFamily="34" charset="0"/>
            <a:cs typeface="Arial" pitchFamily="34" charset="0"/>
          </a:endParaRPr>
        </a:p>
      </xdr:txBody>
    </xdr:sp>
    <xdr:clientData/>
  </xdr:twoCellAnchor>
  <xdr:twoCellAnchor>
    <xdr:from>
      <xdr:col>7</xdr:col>
      <xdr:colOff>778263</xdr:colOff>
      <xdr:row>32</xdr:row>
      <xdr:rowOff>290396</xdr:rowOff>
    </xdr:from>
    <xdr:to>
      <xdr:col>9</xdr:col>
      <xdr:colOff>46465</xdr:colOff>
      <xdr:row>33</xdr:row>
      <xdr:rowOff>81312</xdr:rowOff>
    </xdr:to>
    <xdr:sp macro="" textlink="">
      <xdr:nvSpPr>
        <xdr:cNvPr id="38" name="Rectangle 37">
          <a:extLst>
            <a:ext uri="{FF2B5EF4-FFF2-40B4-BE49-F238E27FC236}">
              <a16:creationId xmlns:a16="http://schemas.microsoft.com/office/drawing/2014/main" id="{00000000-0008-0000-0100-000026000000}"/>
            </a:ext>
          </a:extLst>
        </xdr:cNvPr>
        <xdr:cNvSpPr/>
      </xdr:nvSpPr>
      <xdr:spPr bwMode="auto">
        <a:xfrm>
          <a:off x="7492226" y="7910396"/>
          <a:ext cx="1057044" cy="139392"/>
        </a:xfrm>
        <a:prstGeom prst="rect">
          <a:avLst/>
        </a:prstGeom>
        <a:blipFill dpi="0" rotWithShape="1">
          <a:blip xmlns:r="http://schemas.openxmlformats.org/officeDocument/2006/relationships" r:embed="rId10" cstate="print">
            <a:alphaModFix amt="35000"/>
          </a:blip>
          <a:srcRec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xdr:row>
      <xdr:rowOff>247649</xdr:rowOff>
    </xdr:from>
    <xdr:to>
      <xdr:col>19</xdr:col>
      <xdr:colOff>38101</xdr:colOff>
      <xdr:row>54</xdr:row>
      <xdr:rowOff>38098</xdr:rowOff>
    </xdr:to>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2190751" y="-1828802"/>
          <a:ext cx="15087599" cy="19431001"/>
        </a:xfrm>
        <a:prstGeom prst="rect">
          <a:avLst/>
        </a:prstGeom>
        <a:noFill/>
        <a:ln>
          <a:noFill/>
        </a:ln>
      </xdr:spPr>
    </xdr:pic>
    <xdr:clientData/>
  </xdr:twoCellAnchor>
  <xdr:twoCellAnchor>
    <xdr:from>
      <xdr:col>8</xdr:col>
      <xdr:colOff>96443</xdr:colOff>
      <xdr:row>9</xdr:row>
      <xdr:rowOff>23627</xdr:rowOff>
    </xdr:from>
    <xdr:to>
      <xdr:col>8</xdr:col>
      <xdr:colOff>1509318</xdr:colOff>
      <xdr:row>10</xdr:row>
      <xdr:rowOff>71362</xdr:rowOff>
    </xdr:to>
    <xdr:sp macro="" textlink="$S$2">
      <xdr:nvSpPr>
        <xdr:cNvPr id="7" name="TextBox 6">
          <a:extLst>
            <a:ext uri="{FF2B5EF4-FFF2-40B4-BE49-F238E27FC236}">
              <a16:creationId xmlns:a16="http://schemas.microsoft.com/office/drawing/2014/main" id="{00000000-0008-0000-0200-000007000000}"/>
            </a:ext>
          </a:extLst>
        </xdr:cNvPr>
        <xdr:cNvSpPr txBox="1"/>
      </xdr:nvSpPr>
      <xdr:spPr>
        <a:xfrm>
          <a:off x="13355243" y="2614427"/>
          <a:ext cx="1412875" cy="352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4242385-40A7-459E-AD52-F4D150E1C11A}"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8</xdr:col>
      <xdr:colOff>389502</xdr:colOff>
      <xdr:row>10</xdr:row>
      <xdr:rowOff>139090</xdr:rowOff>
    </xdr:from>
    <xdr:to>
      <xdr:col>8</xdr:col>
      <xdr:colOff>1505661</xdr:colOff>
      <xdr:row>11</xdr:row>
      <xdr:rowOff>184510</xdr:rowOff>
    </xdr:to>
    <xdr:sp macro="" textlink="$P$18">
      <xdr:nvSpPr>
        <xdr:cNvPr id="15" name="TextBox 14">
          <a:extLst>
            <a:ext uri="{FF2B5EF4-FFF2-40B4-BE49-F238E27FC236}">
              <a16:creationId xmlns:a16="http://schemas.microsoft.com/office/drawing/2014/main" id="{00000000-0008-0000-0200-00000F000000}"/>
            </a:ext>
          </a:extLst>
        </xdr:cNvPr>
        <xdr:cNvSpPr txBox="1"/>
      </xdr:nvSpPr>
      <xdr:spPr>
        <a:xfrm>
          <a:off x="13648302" y="3034690"/>
          <a:ext cx="1116159"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74FCF5F7-4A23-4756-9EFF-FEBBAD2BA5B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8</xdr:col>
      <xdr:colOff>96268</xdr:colOff>
      <xdr:row>11</xdr:row>
      <xdr:rowOff>242562</xdr:rowOff>
    </xdr:from>
    <xdr:to>
      <xdr:col>8</xdr:col>
      <xdr:colOff>1499133</xdr:colOff>
      <xdr:row>12</xdr:row>
      <xdr:rowOff>287983</xdr:rowOff>
    </xdr:to>
    <xdr:sp macro="" textlink="$P$7">
      <xdr:nvSpPr>
        <xdr:cNvPr id="16" name="TextBox 15">
          <a:extLst>
            <a:ext uri="{FF2B5EF4-FFF2-40B4-BE49-F238E27FC236}">
              <a16:creationId xmlns:a16="http://schemas.microsoft.com/office/drawing/2014/main" id="{00000000-0008-0000-0200-000010000000}"/>
            </a:ext>
          </a:extLst>
        </xdr:cNvPr>
        <xdr:cNvSpPr txBox="1"/>
      </xdr:nvSpPr>
      <xdr:spPr>
        <a:xfrm>
          <a:off x="13355068" y="3442962"/>
          <a:ext cx="1402865"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96C5EDC-4E90-4C4D-82F6-5BE0883DDB9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8</xdr:col>
      <xdr:colOff>102899</xdr:colOff>
      <xdr:row>13</xdr:row>
      <xdr:rowOff>49267</xdr:rowOff>
    </xdr:from>
    <xdr:to>
      <xdr:col>8</xdr:col>
      <xdr:colOff>1515774</xdr:colOff>
      <xdr:row>14</xdr:row>
      <xdr:rowOff>94687</xdr:rowOff>
    </xdr:to>
    <xdr:sp macro="" textlink="$O$27">
      <xdr:nvSpPr>
        <xdr:cNvPr id="17" name="TextBox 16">
          <a:extLst>
            <a:ext uri="{FF2B5EF4-FFF2-40B4-BE49-F238E27FC236}">
              <a16:creationId xmlns:a16="http://schemas.microsoft.com/office/drawing/2014/main" id="{00000000-0008-0000-0200-000011000000}"/>
            </a:ext>
          </a:extLst>
        </xdr:cNvPr>
        <xdr:cNvSpPr txBox="1"/>
      </xdr:nvSpPr>
      <xdr:spPr>
        <a:xfrm>
          <a:off x="13361699" y="3859267"/>
          <a:ext cx="1412875"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AFCF24AF-5D85-43C0-B2AD-F6F6FB22D7D1}"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8</xdr:col>
      <xdr:colOff>161038</xdr:colOff>
      <xdr:row>18</xdr:row>
      <xdr:rowOff>225111</xdr:rowOff>
    </xdr:from>
    <xdr:to>
      <xdr:col>8</xdr:col>
      <xdr:colOff>1506405</xdr:colOff>
      <xdr:row>19</xdr:row>
      <xdr:rowOff>270532</xdr:rowOff>
    </xdr:to>
    <xdr:sp macro="" textlink="P14">
      <xdr:nvSpPr>
        <xdr:cNvPr id="18" name="TextBox 17">
          <a:extLst>
            <a:ext uri="{FF2B5EF4-FFF2-40B4-BE49-F238E27FC236}">
              <a16:creationId xmlns:a16="http://schemas.microsoft.com/office/drawing/2014/main" id="{00000000-0008-0000-0200-000012000000}"/>
            </a:ext>
          </a:extLst>
        </xdr:cNvPr>
        <xdr:cNvSpPr txBox="1"/>
      </xdr:nvSpPr>
      <xdr:spPr>
        <a:xfrm>
          <a:off x="13419838" y="5559111"/>
          <a:ext cx="1345367"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A5ED9B0-825C-41F1-AEF4-10EF6DB84050}"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8</xdr:col>
      <xdr:colOff>103930</xdr:colOff>
      <xdr:row>15</xdr:row>
      <xdr:rowOff>292195</xdr:rowOff>
    </xdr:from>
    <xdr:to>
      <xdr:col>8</xdr:col>
      <xdr:colOff>1516805</xdr:colOff>
      <xdr:row>17</xdr:row>
      <xdr:rowOff>34547</xdr:rowOff>
    </xdr:to>
    <xdr:sp macro="" textlink="$Q$10">
      <xdr:nvSpPr>
        <xdr:cNvPr id="19" name="TextBox 18">
          <a:extLst>
            <a:ext uri="{FF2B5EF4-FFF2-40B4-BE49-F238E27FC236}">
              <a16:creationId xmlns:a16="http://schemas.microsoft.com/office/drawing/2014/main" id="{00000000-0008-0000-0200-000013000000}"/>
            </a:ext>
          </a:extLst>
        </xdr:cNvPr>
        <xdr:cNvSpPr txBox="1"/>
      </xdr:nvSpPr>
      <xdr:spPr>
        <a:xfrm>
          <a:off x="13362730" y="471179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C987A1A9-E11B-417A-A20C-BD31D37330A2}"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8</xdr:col>
      <xdr:colOff>84096</xdr:colOff>
      <xdr:row>17</xdr:row>
      <xdr:rowOff>96663</xdr:rowOff>
    </xdr:from>
    <xdr:to>
      <xdr:col>8</xdr:col>
      <xdr:colOff>1506496</xdr:colOff>
      <xdr:row>18</xdr:row>
      <xdr:rowOff>142084</xdr:rowOff>
    </xdr:to>
    <xdr:sp macro="" textlink="$Q$11">
      <xdr:nvSpPr>
        <xdr:cNvPr id="20" name="TextBox 19">
          <a:extLst>
            <a:ext uri="{FF2B5EF4-FFF2-40B4-BE49-F238E27FC236}">
              <a16:creationId xmlns:a16="http://schemas.microsoft.com/office/drawing/2014/main" id="{00000000-0008-0000-0200-000014000000}"/>
            </a:ext>
          </a:extLst>
        </xdr:cNvPr>
        <xdr:cNvSpPr txBox="1"/>
      </xdr:nvSpPr>
      <xdr:spPr>
        <a:xfrm>
          <a:off x="13342896" y="5125863"/>
          <a:ext cx="1422400"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29922879-FA33-44A0-9319-80F0AD97929F}"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4</xdr:col>
      <xdr:colOff>1446451</xdr:colOff>
      <xdr:row>28</xdr:row>
      <xdr:rowOff>111058</xdr:rowOff>
    </xdr:from>
    <xdr:to>
      <xdr:col>5</xdr:col>
      <xdr:colOff>930829</xdr:colOff>
      <xdr:row>29</xdr:row>
      <xdr:rowOff>192937</xdr:rowOff>
    </xdr:to>
    <xdr:sp macro="" textlink="$O$23">
      <xdr:nvSpPr>
        <xdr:cNvPr id="21" name="TextBox 20">
          <a:extLst>
            <a:ext uri="{FF2B5EF4-FFF2-40B4-BE49-F238E27FC236}">
              <a16:creationId xmlns:a16="http://schemas.microsoft.com/office/drawing/2014/main" id="{00000000-0008-0000-0200-000015000000}"/>
            </a:ext>
          </a:extLst>
        </xdr:cNvPr>
        <xdr:cNvSpPr txBox="1"/>
      </xdr:nvSpPr>
      <xdr:spPr>
        <a:xfrm>
          <a:off x="8075851" y="8493058"/>
          <a:ext cx="1141728" cy="38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B06016A-51BB-4AFD-8A9F-7B3B3FD76B34}" type="TxLink">
            <a:rPr lang="en-US" sz="1400" b="0" i="0" u="none" strike="noStrike">
              <a:solidFill>
                <a:sysClr val="windowText" lastClr="000000"/>
              </a:solidFill>
              <a:latin typeface="Arial" pitchFamily="34" charset="0"/>
              <a:cs typeface="Arial" pitchFamily="34" charset="0"/>
            </a:rPr>
            <a:pPr algn="ctr"/>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4</xdr:col>
      <xdr:colOff>1599360</xdr:colOff>
      <xdr:row>39</xdr:row>
      <xdr:rowOff>261714</xdr:rowOff>
    </xdr:from>
    <xdr:to>
      <xdr:col>5</xdr:col>
      <xdr:colOff>733679</xdr:colOff>
      <xdr:row>41</xdr:row>
      <xdr:rowOff>75413</xdr:rowOff>
    </xdr:to>
    <xdr:sp macro="" textlink="$R$13">
      <xdr:nvSpPr>
        <xdr:cNvPr id="22" name="TextBox 21">
          <a:extLst>
            <a:ext uri="{FF2B5EF4-FFF2-40B4-BE49-F238E27FC236}">
              <a16:creationId xmlns:a16="http://schemas.microsoft.com/office/drawing/2014/main" id="{00000000-0008-0000-0200-000016000000}"/>
            </a:ext>
          </a:extLst>
        </xdr:cNvPr>
        <xdr:cNvSpPr txBox="1"/>
      </xdr:nvSpPr>
      <xdr:spPr>
        <a:xfrm>
          <a:off x="8228760" y="11996514"/>
          <a:ext cx="791669" cy="423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21B532E-E07A-4B3A-B80C-1298EDD6CF47}" type="TxLink">
            <a:rPr lang="en-US" sz="1400" b="0" i="0" u="none" strike="noStrike">
              <a:solidFill>
                <a:srgbClr val="000000"/>
              </a:solidFill>
              <a:latin typeface="Arial" panose="020B0604020202020204" pitchFamily="34" charset="0"/>
              <a:cs typeface="Arial" panose="020B0604020202020204" pitchFamily="34" charset="0"/>
            </a:rPr>
            <a:pPr algn="ctr"/>
            <a:t> -- </a:t>
          </a:fld>
          <a:endParaRPr lang="en-US" sz="1400" b="0">
            <a:latin typeface="Arial" pitchFamily="34" charset="0"/>
            <a:cs typeface="Arial" pitchFamily="34" charset="0"/>
          </a:endParaRPr>
        </a:p>
      </xdr:txBody>
    </xdr:sp>
    <xdr:clientData/>
  </xdr:twoCellAnchor>
  <xdr:twoCellAnchor>
    <xdr:from>
      <xdr:col>5</xdr:col>
      <xdr:colOff>1295400</xdr:colOff>
      <xdr:row>44</xdr:row>
      <xdr:rowOff>114300</xdr:rowOff>
    </xdr:from>
    <xdr:to>
      <xdr:col>9</xdr:col>
      <xdr:colOff>952500</xdr:colOff>
      <xdr:row>51</xdr:row>
      <xdr:rowOff>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9582150" y="13373100"/>
          <a:ext cx="6286500"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800" b="1">
              <a:latin typeface="Arial" pitchFamily="34" charset="0"/>
              <a:cs typeface="Arial" pitchFamily="34" charset="0"/>
            </a:rPr>
            <a:t>DO NOT USE  FOR CONSTRUCTION OR FABRICATION</a:t>
          </a:r>
        </a:p>
      </xdr:txBody>
    </xdr:sp>
    <xdr:clientData/>
  </xdr:twoCellAnchor>
  <xdr:twoCellAnchor>
    <xdr:from>
      <xdr:col>9</xdr:col>
      <xdr:colOff>1130460</xdr:colOff>
      <xdr:row>3</xdr:row>
      <xdr:rowOff>262539</xdr:rowOff>
    </xdr:from>
    <xdr:to>
      <xdr:col>11</xdr:col>
      <xdr:colOff>749460</xdr:colOff>
      <xdr:row>7</xdr:row>
      <xdr:rowOff>14889</xdr:rowOff>
    </xdr:to>
    <xdr:sp macro="" textlink="$N$15">
      <xdr:nvSpPr>
        <xdr:cNvPr id="25" name="TextBox 24">
          <a:extLst>
            <a:ext uri="{FF2B5EF4-FFF2-40B4-BE49-F238E27FC236}">
              <a16:creationId xmlns:a16="http://schemas.microsoft.com/office/drawing/2014/main" id="{00000000-0008-0000-0200-000019000000}"/>
            </a:ext>
          </a:extLst>
        </xdr:cNvPr>
        <xdr:cNvSpPr txBox="1"/>
      </xdr:nvSpPr>
      <xdr:spPr>
        <a:xfrm>
          <a:off x="16046610" y="1024539"/>
          <a:ext cx="270510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D6DD86-B9C9-4F3C-B9C1-38C8DB51BC58}"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9</xdr:col>
      <xdr:colOff>1127087</xdr:colOff>
      <xdr:row>6</xdr:row>
      <xdr:rowOff>302202</xdr:rowOff>
    </xdr:from>
    <xdr:to>
      <xdr:col>11</xdr:col>
      <xdr:colOff>863571</xdr:colOff>
      <xdr:row>11</xdr:row>
      <xdr:rowOff>102178</xdr:rowOff>
    </xdr:to>
    <xdr:sp macro="" textlink="$N$16">
      <xdr:nvSpPr>
        <xdr:cNvPr id="26" name="TextBox 25">
          <a:extLst>
            <a:ext uri="{FF2B5EF4-FFF2-40B4-BE49-F238E27FC236}">
              <a16:creationId xmlns:a16="http://schemas.microsoft.com/office/drawing/2014/main" id="{00000000-0008-0000-0200-00001A000000}"/>
            </a:ext>
          </a:extLst>
        </xdr:cNvPr>
        <xdr:cNvSpPr txBox="1"/>
      </xdr:nvSpPr>
      <xdr:spPr>
        <a:xfrm>
          <a:off x="16043237" y="1978602"/>
          <a:ext cx="2822584"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47376E3-0918-4492-AA43-D0CFE27E0F9B}" type="TxLink">
            <a:rPr lang="en-US" sz="1200" b="1" i="0" u="none" strike="noStrike">
              <a:solidFill>
                <a:srgbClr val="000000"/>
              </a:solidFill>
              <a:latin typeface="Arial" pitchFamily="34" charset="0"/>
              <a:cs typeface="Arial" pitchFamily="34" charset="0"/>
            </a:rPr>
            <a:pPr/>
            <a:t>2.  REFER TO SUBMITTAL OR FABRICATION DRAWINGS FOR FINAL RIM AND INVERT ELEVATIONS. </a:t>
          </a:fld>
          <a:endParaRPr lang="en-US" sz="1200" b="1">
            <a:latin typeface="Arial" pitchFamily="34" charset="0"/>
            <a:cs typeface="Arial" pitchFamily="34" charset="0"/>
          </a:endParaRPr>
        </a:p>
      </xdr:txBody>
    </xdr:sp>
    <xdr:clientData/>
  </xdr:twoCellAnchor>
  <xdr:twoCellAnchor>
    <xdr:from>
      <xdr:col>9</xdr:col>
      <xdr:colOff>1128699</xdr:colOff>
      <xdr:row>9</xdr:row>
      <xdr:rowOff>165868</xdr:rowOff>
    </xdr:from>
    <xdr:to>
      <xdr:col>11</xdr:col>
      <xdr:colOff>754058</xdr:colOff>
      <xdr:row>12</xdr:row>
      <xdr:rowOff>91184</xdr:rowOff>
    </xdr:to>
    <xdr:sp macro="" textlink="$N$17">
      <xdr:nvSpPr>
        <xdr:cNvPr id="27" name="TextBox 26">
          <a:extLst>
            <a:ext uri="{FF2B5EF4-FFF2-40B4-BE49-F238E27FC236}">
              <a16:creationId xmlns:a16="http://schemas.microsoft.com/office/drawing/2014/main" id="{00000000-0008-0000-0200-00001B000000}"/>
            </a:ext>
          </a:extLst>
        </xdr:cNvPr>
        <xdr:cNvSpPr txBox="1"/>
      </xdr:nvSpPr>
      <xdr:spPr>
        <a:xfrm>
          <a:off x="16044849" y="2756668"/>
          <a:ext cx="2711459" cy="839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0253505-454D-45B4-84EE-18A2EBC0EC68}" type="TxLink">
            <a:rPr lang="en-US" sz="1200" b="1" i="0" u="none" strike="noStrike">
              <a:solidFill>
                <a:srgbClr val="000000"/>
              </a:solidFill>
              <a:latin typeface="Arial" pitchFamily="34" charset="0"/>
              <a:cs typeface="Arial"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9</xdr:col>
      <xdr:colOff>1091794</xdr:colOff>
      <xdr:row>27</xdr:row>
      <xdr:rowOff>57150</xdr:rowOff>
    </xdr:from>
    <xdr:to>
      <xdr:col>11</xdr:col>
      <xdr:colOff>1162050</xdr:colOff>
      <xdr:row>30</xdr:row>
      <xdr:rowOff>38100</xdr:rowOff>
    </xdr:to>
    <xdr:sp macro="" textlink="'2-Sizing'!$D$11:$E$11">
      <xdr:nvSpPr>
        <xdr:cNvPr id="29" name="TextBox 28">
          <a:extLst>
            <a:ext uri="{FF2B5EF4-FFF2-40B4-BE49-F238E27FC236}">
              <a16:creationId xmlns:a16="http://schemas.microsoft.com/office/drawing/2014/main" id="{00000000-0008-0000-0200-00001D000000}"/>
            </a:ext>
          </a:extLst>
        </xdr:cNvPr>
        <xdr:cNvSpPr txBox="1"/>
      </xdr:nvSpPr>
      <xdr:spPr>
        <a:xfrm>
          <a:off x="16007944" y="8134350"/>
          <a:ext cx="3156356"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3B3309-7C09-4E98-83DC-084CDFE7C20F}"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9</xdr:col>
      <xdr:colOff>1093428</xdr:colOff>
      <xdr:row>30</xdr:row>
      <xdr:rowOff>38100</xdr:rowOff>
    </xdr:from>
    <xdr:to>
      <xdr:col>11</xdr:col>
      <xdr:colOff>1143000</xdr:colOff>
      <xdr:row>32</xdr:row>
      <xdr:rowOff>209550</xdr:rowOff>
    </xdr:to>
    <xdr:sp macro="" textlink="'2-Sizing'!D12:E12">
      <xdr:nvSpPr>
        <xdr:cNvPr id="31" name="TextBox 30">
          <a:extLst>
            <a:ext uri="{FF2B5EF4-FFF2-40B4-BE49-F238E27FC236}">
              <a16:creationId xmlns:a16="http://schemas.microsoft.com/office/drawing/2014/main" id="{00000000-0008-0000-0200-00001F000000}"/>
            </a:ext>
          </a:extLst>
        </xdr:cNvPr>
        <xdr:cNvSpPr txBox="1"/>
      </xdr:nvSpPr>
      <xdr:spPr>
        <a:xfrm>
          <a:off x="16009578" y="9029700"/>
          <a:ext cx="3135672"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BAA6FE-849C-4A93-8711-407928577E2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3</xdr:col>
      <xdr:colOff>746899</xdr:colOff>
      <xdr:row>20</xdr:row>
      <xdr:rowOff>195715</xdr:rowOff>
    </xdr:from>
    <xdr:to>
      <xdr:col>4</xdr:col>
      <xdr:colOff>256140</xdr:colOff>
      <xdr:row>21</xdr:row>
      <xdr:rowOff>210202</xdr:rowOff>
    </xdr:to>
    <xdr:sp macro="" textlink="$O$19">
      <xdr:nvSpPr>
        <xdr:cNvPr id="35" name="TextBox 34">
          <a:extLst>
            <a:ext uri="{FF2B5EF4-FFF2-40B4-BE49-F238E27FC236}">
              <a16:creationId xmlns:a16="http://schemas.microsoft.com/office/drawing/2014/main" id="{00000000-0008-0000-0200-000023000000}"/>
            </a:ext>
          </a:extLst>
        </xdr:cNvPr>
        <xdr:cNvSpPr txBox="1"/>
      </xdr:nvSpPr>
      <xdr:spPr>
        <a:xfrm>
          <a:off x="5718949" y="6139315"/>
          <a:ext cx="1166591"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E23C439-9C17-4F20-9A6A-9C04D563DB9D}" type="TxLink">
            <a:rPr lang="en-US" sz="1400" b="0" i="0" u="none" strike="noStrike">
              <a:solidFill>
                <a:sysClr val="windowText" lastClr="000000"/>
              </a:solidFill>
              <a:latin typeface="Arial" pitchFamily="34" charset="0"/>
              <a:cs typeface="Arial"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4</xdr:col>
      <xdr:colOff>1228590</xdr:colOff>
      <xdr:row>36</xdr:row>
      <xdr:rowOff>23492</xdr:rowOff>
    </xdr:from>
    <xdr:to>
      <xdr:col>5</xdr:col>
      <xdr:colOff>664154</xdr:colOff>
      <xdr:row>37</xdr:row>
      <xdr:rowOff>79851</xdr:rowOff>
    </xdr:to>
    <xdr:sp macro="" textlink="$O$20">
      <xdr:nvSpPr>
        <xdr:cNvPr id="36" name="TextBox 35">
          <a:extLst>
            <a:ext uri="{FF2B5EF4-FFF2-40B4-BE49-F238E27FC236}">
              <a16:creationId xmlns:a16="http://schemas.microsoft.com/office/drawing/2014/main" id="{00000000-0008-0000-0200-000024000000}"/>
            </a:ext>
          </a:extLst>
        </xdr:cNvPr>
        <xdr:cNvSpPr txBox="1"/>
      </xdr:nvSpPr>
      <xdr:spPr>
        <a:xfrm>
          <a:off x="7857990" y="10843892"/>
          <a:ext cx="1092914"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1</xdr:col>
      <xdr:colOff>25716</xdr:colOff>
      <xdr:row>35</xdr:row>
      <xdr:rowOff>102450</xdr:rowOff>
    </xdr:from>
    <xdr:to>
      <xdr:col>1</xdr:col>
      <xdr:colOff>1103138</xdr:colOff>
      <xdr:row>36</xdr:row>
      <xdr:rowOff>116937</xdr:rowOff>
    </xdr:to>
    <xdr:sp macro="" textlink="$O$21">
      <xdr:nvSpPr>
        <xdr:cNvPr id="38" name="TextBox 37">
          <a:extLst>
            <a:ext uri="{FF2B5EF4-FFF2-40B4-BE49-F238E27FC236}">
              <a16:creationId xmlns:a16="http://schemas.microsoft.com/office/drawing/2014/main" id="{00000000-0008-0000-0200-000026000000}"/>
            </a:ext>
          </a:extLst>
        </xdr:cNvPr>
        <xdr:cNvSpPr txBox="1"/>
      </xdr:nvSpPr>
      <xdr:spPr>
        <a:xfrm>
          <a:off x="1683066" y="10618050"/>
          <a:ext cx="1077422"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F5B76BA5-1524-4920-93B6-2CFFA975DF6F}"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8</xdr:col>
      <xdr:colOff>103930</xdr:colOff>
      <xdr:row>14</xdr:row>
      <xdr:rowOff>196945</xdr:rowOff>
    </xdr:from>
    <xdr:to>
      <xdr:col>8</xdr:col>
      <xdr:colOff>1516805</xdr:colOff>
      <xdr:row>15</xdr:row>
      <xdr:rowOff>244097</xdr:rowOff>
    </xdr:to>
    <xdr:sp macro="" textlink="$Q$4">
      <xdr:nvSpPr>
        <xdr:cNvPr id="45" name="TextBox 44">
          <a:extLst>
            <a:ext uri="{FF2B5EF4-FFF2-40B4-BE49-F238E27FC236}">
              <a16:creationId xmlns:a16="http://schemas.microsoft.com/office/drawing/2014/main" id="{00000000-0008-0000-0200-00002D000000}"/>
            </a:ext>
          </a:extLst>
        </xdr:cNvPr>
        <xdr:cNvSpPr txBox="1"/>
      </xdr:nvSpPr>
      <xdr:spPr>
        <a:xfrm>
          <a:off x="13362730" y="431174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0F8AA9EB-A6C2-46E3-9A80-EF3E4B911F67}"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4</xdr:col>
      <xdr:colOff>84376</xdr:colOff>
      <xdr:row>27</xdr:row>
      <xdr:rowOff>53908</xdr:rowOff>
    </xdr:from>
    <xdr:to>
      <xdr:col>4</xdr:col>
      <xdr:colOff>1226104</xdr:colOff>
      <xdr:row>28</xdr:row>
      <xdr:rowOff>135787</xdr:rowOff>
    </xdr:to>
    <xdr:sp macro="" textlink="$O$25">
      <xdr:nvSpPr>
        <xdr:cNvPr id="46" name="TextBox 45">
          <a:extLst>
            <a:ext uri="{FF2B5EF4-FFF2-40B4-BE49-F238E27FC236}">
              <a16:creationId xmlns:a16="http://schemas.microsoft.com/office/drawing/2014/main" id="{00000000-0008-0000-0200-00002E000000}"/>
            </a:ext>
          </a:extLst>
        </xdr:cNvPr>
        <xdr:cNvSpPr txBox="1"/>
      </xdr:nvSpPr>
      <xdr:spPr>
        <a:xfrm>
          <a:off x="6713776" y="81311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BEDF3FB-BCE7-4BA1-9F98-CBF57B207F1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4</xdr:col>
      <xdr:colOff>46276</xdr:colOff>
      <xdr:row>31</xdr:row>
      <xdr:rowOff>15808</xdr:rowOff>
    </xdr:from>
    <xdr:to>
      <xdr:col>4</xdr:col>
      <xdr:colOff>1188004</xdr:colOff>
      <xdr:row>32</xdr:row>
      <xdr:rowOff>97687</xdr:rowOff>
    </xdr:to>
    <xdr:sp macro="" textlink="$O$25">
      <xdr:nvSpPr>
        <xdr:cNvPr id="47" name="TextBox 46">
          <a:extLst>
            <a:ext uri="{FF2B5EF4-FFF2-40B4-BE49-F238E27FC236}">
              <a16:creationId xmlns:a16="http://schemas.microsoft.com/office/drawing/2014/main" id="{00000000-0008-0000-0200-00002F000000}"/>
            </a:ext>
          </a:extLst>
        </xdr:cNvPr>
        <xdr:cNvSpPr txBox="1"/>
      </xdr:nvSpPr>
      <xdr:spPr>
        <a:xfrm>
          <a:off x="6675676" y="93122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fld id="{03552A54-E138-4061-B2D5-E6F8B4E12B9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4</xdr:col>
      <xdr:colOff>484426</xdr:colOff>
      <xdr:row>42</xdr:row>
      <xdr:rowOff>263458</xdr:rowOff>
    </xdr:from>
    <xdr:to>
      <xdr:col>4</xdr:col>
      <xdr:colOff>1626154</xdr:colOff>
      <xdr:row>44</xdr:row>
      <xdr:rowOff>40537</xdr:rowOff>
    </xdr:to>
    <xdr:sp macro="" textlink="$O$22">
      <xdr:nvSpPr>
        <xdr:cNvPr id="48" name="TextBox 47">
          <a:extLst>
            <a:ext uri="{FF2B5EF4-FFF2-40B4-BE49-F238E27FC236}">
              <a16:creationId xmlns:a16="http://schemas.microsoft.com/office/drawing/2014/main" id="{00000000-0008-0000-0200-000030000000}"/>
            </a:ext>
          </a:extLst>
        </xdr:cNvPr>
        <xdr:cNvSpPr txBox="1"/>
      </xdr:nvSpPr>
      <xdr:spPr>
        <a:xfrm>
          <a:off x="7113826" y="1291265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E9980869-F07A-4340-922D-8F49CB9B8CC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6</xdr:col>
      <xdr:colOff>1085849</xdr:colOff>
      <xdr:row>36</xdr:row>
      <xdr:rowOff>64095</xdr:rowOff>
    </xdr:from>
    <xdr:to>
      <xdr:col>7</xdr:col>
      <xdr:colOff>1153873</xdr:colOff>
      <xdr:row>37</xdr:row>
      <xdr:rowOff>162587</xdr:rowOff>
    </xdr:to>
    <xdr:sp macro="" textlink="$O$26">
      <xdr:nvSpPr>
        <xdr:cNvPr id="30" name="TextBox 29">
          <a:extLst>
            <a:ext uri="{FF2B5EF4-FFF2-40B4-BE49-F238E27FC236}">
              <a16:creationId xmlns:a16="http://schemas.microsoft.com/office/drawing/2014/main" id="{00000000-0008-0000-0200-00001E000000}"/>
            </a:ext>
          </a:extLst>
        </xdr:cNvPr>
        <xdr:cNvSpPr txBox="1"/>
      </xdr:nvSpPr>
      <xdr:spPr>
        <a:xfrm>
          <a:off x="11029949" y="10884495"/>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342BB95-DB45-4E7A-85EE-CDAC8633E655}"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7</xdr:col>
      <xdr:colOff>95249</xdr:colOff>
      <xdr:row>26</xdr:row>
      <xdr:rowOff>178395</xdr:rowOff>
    </xdr:from>
    <xdr:to>
      <xdr:col>8</xdr:col>
      <xdr:colOff>163273</xdr:colOff>
      <xdr:row>27</xdr:row>
      <xdr:rowOff>276887</xdr:rowOff>
    </xdr:to>
    <xdr:sp macro="" textlink="$P$8">
      <xdr:nvSpPr>
        <xdr:cNvPr id="32" name="TextBox 31">
          <a:extLst>
            <a:ext uri="{FF2B5EF4-FFF2-40B4-BE49-F238E27FC236}">
              <a16:creationId xmlns:a16="http://schemas.microsoft.com/office/drawing/2014/main" id="{00000000-0008-0000-0200-000020000000}"/>
            </a:ext>
          </a:extLst>
        </xdr:cNvPr>
        <xdr:cNvSpPr txBox="1"/>
      </xdr:nvSpPr>
      <xdr:spPr>
        <a:xfrm>
          <a:off x="11696699" y="7950795"/>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268E75A6-26FF-42B9-A406-9F03BFC8319E}" type="TxLink">
            <a:rPr lang="en-US" sz="1400" b="0" i="0" u="none" strike="noStrike">
              <a:solidFill>
                <a:srgbClr val="000000"/>
              </a:solidFill>
              <a:latin typeface="Arial" panose="020B0604020202020204" pitchFamily="34" charset="0"/>
              <a:cs typeface="Arial" panose="020B0604020202020204" pitchFamily="34" charset="0"/>
            </a:rPr>
            <a:pPr algn="l"/>
            <a:t> -- </a:t>
          </a:fld>
          <a:endParaRPr lang="en-US" sz="1400" b="0">
            <a:latin typeface="Arial" pitchFamily="34" charset="0"/>
            <a:cs typeface="Arial" pitchFamily="34" charset="0"/>
          </a:endParaRPr>
        </a:p>
      </xdr:txBody>
    </xdr:sp>
    <xdr:clientData/>
  </xdr:twoCellAnchor>
  <xdr:twoCellAnchor>
    <xdr:from>
      <xdr:col>4</xdr:col>
      <xdr:colOff>1447801</xdr:colOff>
      <xdr:row>2</xdr:row>
      <xdr:rowOff>171450</xdr:rowOff>
    </xdr:from>
    <xdr:to>
      <xdr:col>9</xdr:col>
      <xdr:colOff>514351</xdr:colOff>
      <xdr:row>7</xdr:row>
      <xdr:rowOff>38100</xdr:rowOff>
    </xdr:to>
    <xdr:sp macro="" textlink="N28">
      <xdr:nvSpPr>
        <xdr:cNvPr id="33" name="TextBox 32">
          <a:extLst>
            <a:ext uri="{FF2B5EF4-FFF2-40B4-BE49-F238E27FC236}">
              <a16:creationId xmlns:a16="http://schemas.microsoft.com/office/drawing/2014/main" id="{00000000-0008-0000-0200-000021000000}"/>
            </a:ext>
          </a:extLst>
        </xdr:cNvPr>
        <xdr:cNvSpPr txBox="1"/>
      </xdr:nvSpPr>
      <xdr:spPr>
        <a:xfrm>
          <a:off x="8077201" y="628650"/>
          <a:ext cx="7353300" cy="1390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752FEC44-4991-4FBE-A413-219032EBB146}" type="TxLink">
            <a:rPr lang="en-US" sz="2400" b="0" i="0" u="none" strike="noStrike">
              <a:solidFill>
                <a:srgbClr val="FF0000"/>
              </a:solidFill>
              <a:latin typeface="Arial" panose="020B0604020202020204" pitchFamily="34" charset="0"/>
              <a:cs typeface="Arial" panose="020B0604020202020204" pitchFamily="34" charset="0"/>
            </a:rPr>
            <a:pPr algn="r"/>
            <a:t> </a:t>
          </a:fld>
          <a:endParaRPr lang="en-US" sz="2400" b="1">
            <a:solidFill>
              <a:srgbClr val="FF0000"/>
            </a:solidFill>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304799</xdr:colOff>
      <xdr:row>1</xdr:row>
      <xdr:rowOff>-1</xdr:rowOff>
    </xdr:from>
    <xdr:to>
      <xdr:col>11</xdr:col>
      <xdr:colOff>285749</xdr:colOff>
      <xdr:row>45</xdr:row>
      <xdr:rowOff>1066799</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2114549" y="-1504951"/>
          <a:ext cx="14363700" cy="17983200"/>
        </a:xfrm>
        <a:prstGeom prst="rect">
          <a:avLst/>
        </a:prstGeom>
        <a:ln>
          <a:noFill/>
        </a:ln>
      </xdr:spPr>
    </xdr:pic>
    <xdr:clientData/>
  </xdr:twoCellAnchor>
  <xdr:twoCellAnchor>
    <xdr:from>
      <xdr:col>7</xdr:col>
      <xdr:colOff>1029893</xdr:colOff>
      <xdr:row>5</xdr:row>
      <xdr:rowOff>290327</xdr:rowOff>
    </xdr:from>
    <xdr:to>
      <xdr:col>8</xdr:col>
      <xdr:colOff>785418</xdr:colOff>
      <xdr:row>7</xdr:row>
      <xdr:rowOff>33262</xdr:rowOff>
    </xdr:to>
    <xdr:sp macro="" textlink="$R$2">
      <xdr:nvSpPr>
        <xdr:cNvPr id="3" name="TextBox 2">
          <a:extLst>
            <a:ext uri="{FF2B5EF4-FFF2-40B4-BE49-F238E27FC236}">
              <a16:creationId xmlns:a16="http://schemas.microsoft.com/office/drawing/2014/main" id="{00000000-0008-0000-0300-000003000000}"/>
            </a:ext>
          </a:extLst>
        </xdr:cNvPr>
        <xdr:cNvSpPr txBox="1"/>
      </xdr:nvSpPr>
      <xdr:spPr>
        <a:xfrm>
          <a:off x="12631343" y="1814327"/>
          <a:ext cx="1412875" cy="352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2C5991A-E921-4EB5-9C3F-B41EC6187921}" type="TxLink">
            <a:rPr lang="en-US" sz="1400" b="1" i="0" u="none" strike="noStrike">
              <a:solidFill>
                <a:srgbClr val="000000"/>
              </a:solidFill>
              <a:latin typeface="Arial" pitchFamily="34" charset="0"/>
              <a:cs typeface="Arial" pitchFamily="34" charset="0"/>
            </a:rPr>
            <a:pPr algn="r"/>
            <a:t> </a:t>
          </a:fld>
          <a:endParaRPr lang="en-US" sz="1400" b="1">
            <a:latin typeface="Arial" pitchFamily="34" charset="0"/>
            <a:cs typeface="Arial" pitchFamily="34" charset="0"/>
          </a:endParaRPr>
        </a:p>
      </xdr:txBody>
    </xdr:sp>
    <xdr:clientData/>
  </xdr:twoCellAnchor>
  <xdr:twoCellAnchor>
    <xdr:from>
      <xdr:col>7</xdr:col>
      <xdr:colOff>1189602</xdr:colOff>
      <xdr:row>7</xdr:row>
      <xdr:rowOff>62890</xdr:rowOff>
    </xdr:from>
    <xdr:to>
      <xdr:col>8</xdr:col>
      <xdr:colOff>648411</xdr:colOff>
      <xdr:row>8</xdr:row>
      <xdr:rowOff>108310</xdr:rowOff>
    </xdr:to>
    <xdr:sp macro="" textlink="$P$18">
      <xdr:nvSpPr>
        <xdr:cNvPr id="4" name="TextBox 3">
          <a:extLst>
            <a:ext uri="{FF2B5EF4-FFF2-40B4-BE49-F238E27FC236}">
              <a16:creationId xmlns:a16="http://schemas.microsoft.com/office/drawing/2014/main" id="{00000000-0008-0000-0300-000004000000}"/>
            </a:ext>
          </a:extLst>
        </xdr:cNvPr>
        <xdr:cNvSpPr txBox="1"/>
      </xdr:nvSpPr>
      <xdr:spPr>
        <a:xfrm>
          <a:off x="12791052" y="2196490"/>
          <a:ext cx="1116159"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4BEB4FE9-F372-4D15-A2B5-B552C7591B1A}" type="TxLink">
            <a:rPr lang="en-US" sz="1400" b="1" i="0" u="none" strike="noStrike">
              <a:solidFill>
                <a:srgbClr val="000000"/>
              </a:solidFill>
              <a:latin typeface="Arial" panose="020B0604020202020204" pitchFamily="34" charset="0"/>
              <a:cs typeface="Arial" panose="020B0604020202020204" pitchFamily="34" charset="0"/>
            </a:rPr>
            <a:pPr algn="r"/>
            <a:t> </a:t>
          </a:fld>
          <a:endParaRPr lang="en-US" sz="1400" b="1">
            <a:latin typeface="Arial" pitchFamily="34" charset="0"/>
            <a:cs typeface="Arial" pitchFamily="34" charset="0"/>
          </a:endParaRPr>
        </a:p>
      </xdr:txBody>
    </xdr:sp>
    <xdr:clientData/>
  </xdr:twoCellAnchor>
  <xdr:twoCellAnchor>
    <xdr:from>
      <xdr:col>7</xdr:col>
      <xdr:colOff>1067818</xdr:colOff>
      <xdr:row>8</xdr:row>
      <xdr:rowOff>109212</xdr:rowOff>
    </xdr:from>
    <xdr:to>
      <xdr:col>8</xdr:col>
      <xdr:colOff>813333</xdr:colOff>
      <xdr:row>9</xdr:row>
      <xdr:rowOff>154633</xdr:rowOff>
    </xdr:to>
    <xdr:sp macro="" textlink="$P$7">
      <xdr:nvSpPr>
        <xdr:cNvPr id="5" name="TextBox 4">
          <a:extLst>
            <a:ext uri="{FF2B5EF4-FFF2-40B4-BE49-F238E27FC236}">
              <a16:creationId xmlns:a16="http://schemas.microsoft.com/office/drawing/2014/main" id="{00000000-0008-0000-0300-000005000000}"/>
            </a:ext>
          </a:extLst>
        </xdr:cNvPr>
        <xdr:cNvSpPr txBox="1"/>
      </xdr:nvSpPr>
      <xdr:spPr>
        <a:xfrm>
          <a:off x="12669268" y="2547612"/>
          <a:ext cx="1402865"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96C5EDC-4E90-4C4D-82F6-5BE0883DDB9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1055399</xdr:colOff>
      <xdr:row>9</xdr:row>
      <xdr:rowOff>258817</xdr:rowOff>
    </xdr:from>
    <xdr:to>
      <xdr:col>8</xdr:col>
      <xdr:colOff>810924</xdr:colOff>
      <xdr:row>10</xdr:row>
      <xdr:rowOff>304237</xdr:rowOff>
    </xdr:to>
    <xdr:sp macro="" textlink="$P$8">
      <xdr:nvSpPr>
        <xdr:cNvPr id="6" name="TextBox 5">
          <a:extLst>
            <a:ext uri="{FF2B5EF4-FFF2-40B4-BE49-F238E27FC236}">
              <a16:creationId xmlns:a16="http://schemas.microsoft.com/office/drawing/2014/main" id="{00000000-0008-0000-0300-000006000000}"/>
            </a:ext>
          </a:extLst>
        </xdr:cNvPr>
        <xdr:cNvSpPr txBox="1"/>
      </xdr:nvSpPr>
      <xdr:spPr>
        <a:xfrm>
          <a:off x="12656849" y="3002017"/>
          <a:ext cx="1412875"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68C75C31-1BEE-448E-A90C-52DE92549629}"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1132588</xdr:colOff>
      <xdr:row>15</xdr:row>
      <xdr:rowOff>53661</xdr:rowOff>
    </xdr:from>
    <xdr:to>
      <xdr:col>8</xdr:col>
      <xdr:colOff>820605</xdr:colOff>
      <xdr:row>16</xdr:row>
      <xdr:rowOff>99082</xdr:rowOff>
    </xdr:to>
    <xdr:sp macro="" textlink="$P$14">
      <xdr:nvSpPr>
        <xdr:cNvPr id="7" name="TextBox 6">
          <a:extLst>
            <a:ext uri="{FF2B5EF4-FFF2-40B4-BE49-F238E27FC236}">
              <a16:creationId xmlns:a16="http://schemas.microsoft.com/office/drawing/2014/main" id="{00000000-0008-0000-0300-000007000000}"/>
            </a:ext>
          </a:extLst>
        </xdr:cNvPr>
        <xdr:cNvSpPr txBox="1"/>
      </xdr:nvSpPr>
      <xdr:spPr>
        <a:xfrm>
          <a:off x="12734038" y="4625661"/>
          <a:ext cx="1345367"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55A7D156-8F46-4E56-BBD7-822FB5CBA174}"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7</xdr:col>
      <xdr:colOff>1056430</xdr:colOff>
      <xdr:row>12</xdr:row>
      <xdr:rowOff>158845</xdr:rowOff>
    </xdr:from>
    <xdr:to>
      <xdr:col>8</xdr:col>
      <xdr:colOff>811955</xdr:colOff>
      <xdr:row>13</xdr:row>
      <xdr:rowOff>205997</xdr:rowOff>
    </xdr:to>
    <xdr:sp macro="" textlink="$P$10">
      <xdr:nvSpPr>
        <xdr:cNvPr id="8" name="TextBox 7">
          <a:extLst>
            <a:ext uri="{FF2B5EF4-FFF2-40B4-BE49-F238E27FC236}">
              <a16:creationId xmlns:a16="http://schemas.microsoft.com/office/drawing/2014/main" id="{00000000-0008-0000-0300-000008000000}"/>
            </a:ext>
          </a:extLst>
        </xdr:cNvPr>
        <xdr:cNvSpPr txBox="1"/>
      </xdr:nvSpPr>
      <xdr:spPr>
        <a:xfrm>
          <a:off x="12657880" y="381644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928F92A-7701-45AD-B328-8E1562278BA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1055646</xdr:colOff>
      <xdr:row>13</xdr:row>
      <xdr:rowOff>268113</xdr:rowOff>
    </xdr:from>
    <xdr:to>
      <xdr:col>8</xdr:col>
      <xdr:colOff>820696</xdr:colOff>
      <xdr:row>15</xdr:row>
      <xdr:rowOff>8734</xdr:rowOff>
    </xdr:to>
    <xdr:sp macro="" textlink="$P$11">
      <xdr:nvSpPr>
        <xdr:cNvPr id="9" name="TextBox 8">
          <a:extLst>
            <a:ext uri="{FF2B5EF4-FFF2-40B4-BE49-F238E27FC236}">
              <a16:creationId xmlns:a16="http://schemas.microsoft.com/office/drawing/2014/main" id="{00000000-0008-0000-0300-000009000000}"/>
            </a:ext>
          </a:extLst>
        </xdr:cNvPr>
        <xdr:cNvSpPr txBox="1"/>
      </xdr:nvSpPr>
      <xdr:spPr>
        <a:xfrm>
          <a:off x="12657096" y="4230513"/>
          <a:ext cx="1422400"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B23A8DE-BFA4-49F6-9E84-2E8AA061E33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9</xdr:col>
      <xdr:colOff>330360</xdr:colOff>
      <xdr:row>1</xdr:row>
      <xdr:rowOff>281588</xdr:rowOff>
    </xdr:from>
    <xdr:to>
      <xdr:col>11</xdr:col>
      <xdr:colOff>133350</xdr:colOff>
      <xdr:row>5</xdr:row>
      <xdr:rowOff>266699</xdr:rowOff>
    </xdr:to>
    <xdr:sp macro="" textlink="$N$15">
      <xdr:nvSpPr>
        <xdr:cNvPr id="13" name="TextBox 12">
          <a:extLst>
            <a:ext uri="{FF2B5EF4-FFF2-40B4-BE49-F238E27FC236}">
              <a16:creationId xmlns:a16="http://schemas.microsoft.com/office/drawing/2014/main" id="{00000000-0008-0000-0300-00000D000000}"/>
            </a:ext>
          </a:extLst>
        </xdr:cNvPr>
        <xdr:cNvSpPr txBox="1"/>
      </xdr:nvSpPr>
      <xdr:spPr>
        <a:xfrm>
          <a:off x="15246510" y="586388"/>
          <a:ext cx="2889090" cy="120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D6DD86-B9C9-4F3C-B9C1-38C8DB51BC58}"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9</xdr:col>
      <xdr:colOff>326986</xdr:colOff>
      <xdr:row>5</xdr:row>
      <xdr:rowOff>35502</xdr:rowOff>
    </xdr:from>
    <xdr:to>
      <xdr:col>11</xdr:col>
      <xdr:colOff>152399</xdr:colOff>
      <xdr:row>9</xdr:row>
      <xdr:rowOff>133350</xdr:rowOff>
    </xdr:to>
    <xdr:sp macro="" textlink="$N$16">
      <xdr:nvSpPr>
        <xdr:cNvPr id="14" name="TextBox 13">
          <a:extLst>
            <a:ext uri="{FF2B5EF4-FFF2-40B4-BE49-F238E27FC236}">
              <a16:creationId xmlns:a16="http://schemas.microsoft.com/office/drawing/2014/main" id="{00000000-0008-0000-0300-00000E000000}"/>
            </a:ext>
          </a:extLst>
        </xdr:cNvPr>
        <xdr:cNvSpPr txBox="1"/>
      </xdr:nvSpPr>
      <xdr:spPr>
        <a:xfrm>
          <a:off x="15243136" y="1559502"/>
          <a:ext cx="2911513" cy="131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47376E3-0918-4492-AA43-D0CFE27E0F9B}" type="TxLink">
            <a:rPr lang="en-US" sz="1200" b="1" i="0" u="none" strike="noStrike">
              <a:solidFill>
                <a:srgbClr val="000000"/>
              </a:solidFill>
              <a:latin typeface="Arial" pitchFamily="34" charset="0"/>
              <a:cs typeface="Arial" pitchFamily="34" charset="0"/>
            </a:rPr>
            <a:pPr/>
            <a:t>2.  REFER TO SUBMITTAL OR FABRICATION DRAWINGS FOR FINAL RIM AND INVERT ELEVATIONS. </a:t>
          </a:fld>
          <a:endParaRPr lang="en-US" sz="1200" b="1">
            <a:latin typeface="Arial" pitchFamily="34" charset="0"/>
            <a:cs typeface="Arial" pitchFamily="34" charset="0"/>
          </a:endParaRPr>
        </a:p>
      </xdr:txBody>
    </xdr:sp>
    <xdr:clientData/>
  </xdr:twoCellAnchor>
  <xdr:twoCellAnchor>
    <xdr:from>
      <xdr:col>9</xdr:col>
      <xdr:colOff>328599</xdr:colOff>
      <xdr:row>7</xdr:row>
      <xdr:rowOff>184918</xdr:rowOff>
    </xdr:from>
    <xdr:to>
      <xdr:col>11</xdr:col>
      <xdr:colOff>152400</xdr:colOff>
      <xdr:row>10</xdr:row>
      <xdr:rowOff>190500</xdr:rowOff>
    </xdr:to>
    <xdr:sp macro="" textlink="$N$17">
      <xdr:nvSpPr>
        <xdr:cNvPr id="15" name="TextBox 14">
          <a:extLst>
            <a:ext uri="{FF2B5EF4-FFF2-40B4-BE49-F238E27FC236}">
              <a16:creationId xmlns:a16="http://schemas.microsoft.com/office/drawing/2014/main" id="{00000000-0008-0000-0300-00000F000000}"/>
            </a:ext>
          </a:extLst>
        </xdr:cNvPr>
        <xdr:cNvSpPr txBox="1"/>
      </xdr:nvSpPr>
      <xdr:spPr>
        <a:xfrm>
          <a:off x="15244749" y="2318518"/>
          <a:ext cx="2909901" cy="9199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8F92CE19-8AD8-475A-97D9-FE802A2192D8}" type="TxLink">
            <a:rPr lang="en-US" sz="1200" b="1" i="0" u="none" strike="noStrike">
              <a:solidFill>
                <a:srgbClr val="000000"/>
              </a:solidFill>
              <a:latin typeface="Arial" panose="020B0604020202020204" pitchFamily="34" charset="0"/>
              <a:cs typeface="Arial" panose="020B0604020202020204"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9</xdr:col>
      <xdr:colOff>310744</xdr:colOff>
      <xdr:row>25</xdr:row>
      <xdr:rowOff>152400</xdr:rowOff>
    </xdr:from>
    <xdr:to>
      <xdr:col>11</xdr:col>
      <xdr:colOff>95250</xdr:colOff>
      <xdr:row>28</xdr:row>
      <xdr:rowOff>0</xdr:rowOff>
    </xdr:to>
    <xdr:sp macro="" textlink="'2-Sizing'!$D$11:$E$11">
      <xdr:nvSpPr>
        <xdr:cNvPr id="17" name="TextBox 16">
          <a:extLst>
            <a:ext uri="{FF2B5EF4-FFF2-40B4-BE49-F238E27FC236}">
              <a16:creationId xmlns:a16="http://schemas.microsoft.com/office/drawing/2014/main" id="{00000000-0008-0000-0300-000011000000}"/>
            </a:ext>
          </a:extLst>
        </xdr:cNvPr>
        <xdr:cNvSpPr txBox="1"/>
      </xdr:nvSpPr>
      <xdr:spPr>
        <a:xfrm>
          <a:off x="15226894" y="7772400"/>
          <a:ext cx="2870606"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3B3309-7C09-4E98-83DC-084CDFE7C20F}"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9</xdr:col>
      <xdr:colOff>312378</xdr:colOff>
      <xdr:row>27</xdr:row>
      <xdr:rowOff>285750</xdr:rowOff>
    </xdr:from>
    <xdr:to>
      <xdr:col>11</xdr:col>
      <xdr:colOff>95249</xdr:colOff>
      <xdr:row>30</xdr:row>
      <xdr:rowOff>152400</xdr:rowOff>
    </xdr:to>
    <xdr:sp macro="" textlink="'2-Sizing'!D12:E12">
      <xdr:nvSpPr>
        <xdr:cNvPr id="18" name="TextBox 17">
          <a:extLst>
            <a:ext uri="{FF2B5EF4-FFF2-40B4-BE49-F238E27FC236}">
              <a16:creationId xmlns:a16="http://schemas.microsoft.com/office/drawing/2014/main" id="{00000000-0008-0000-0300-000012000000}"/>
            </a:ext>
          </a:extLst>
        </xdr:cNvPr>
        <xdr:cNvSpPr txBox="1"/>
      </xdr:nvSpPr>
      <xdr:spPr>
        <a:xfrm>
          <a:off x="15228528" y="8515350"/>
          <a:ext cx="2868971"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BAA6FE-849C-4A93-8711-407928577E2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3</xdr:col>
      <xdr:colOff>289699</xdr:colOff>
      <xdr:row>24</xdr:row>
      <xdr:rowOff>157615</xdr:rowOff>
    </xdr:from>
    <xdr:to>
      <xdr:col>3</xdr:col>
      <xdr:colOff>1456290</xdr:colOff>
      <xdr:row>25</xdr:row>
      <xdr:rowOff>172102</xdr:rowOff>
    </xdr:to>
    <xdr:sp macro="" textlink="$O$19">
      <xdr:nvSpPr>
        <xdr:cNvPr id="19" name="TextBox 18">
          <a:extLst>
            <a:ext uri="{FF2B5EF4-FFF2-40B4-BE49-F238E27FC236}">
              <a16:creationId xmlns:a16="http://schemas.microsoft.com/office/drawing/2014/main" id="{00000000-0008-0000-0300-000013000000}"/>
            </a:ext>
          </a:extLst>
        </xdr:cNvPr>
        <xdr:cNvSpPr txBox="1"/>
      </xdr:nvSpPr>
      <xdr:spPr>
        <a:xfrm>
          <a:off x="5261749" y="7472815"/>
          <a:ext cx="1166591"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E23C439-9C17-4F20-9A6A-9C04D563DB9D}" type="TxLink">
            <a:rPr lang="en-US" sz="1400" b="0" i="0" u="none" strike="noStrike">
              <a:solidFill>
                <a:sysClr val="windowText" lastClr="000000"/>
              </a:solidFill>
              <a:latin typeface="Arial" pitchFamily="34" charset="0"/>
              <a:cs typeface="Arial"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8</xdr:col>
      <xdr:colOff>676140</xdr:colOff>
      <xdr:row>30</xdr:row>
      <xdr:rowOff>42542</xdr:rowOff>
    </xdr:from>
    <xdr:to>
      <xdr:col>9</xdr:col>
      <xdr:colOff>111704</xdr:colOff>
      <xdr:row>31</xdr:row>
      <xdr:rowOff>98901</xdr:rowOff>
    </xdr:to>
    <xdr:sp macro="" textlink="$O$20">
      <xdr:nvSpPr>
        <xdr:cNvPr id="20" name="TextBox 19">
          <a:extLst>
            <a:ext uri="{FF2B5EF4-FFF2-40B4-BE49-F238E27FC236}">
              <a16:creationId xmlns:a16="http://schemas.microsoft.com/office/drawing/2014/main" id="{00000000-0008-0000-0300-000014000000}"/>
            </a:ext>
          </a:extLst>
        </xdr:cNvPr>
        <xdr:cNvSpPr txBox="1"/>
      </xdr:nvSpPr>
      <xdr:spPr>
        <a:xfrm>
          <a:off x="13934940" y="9186542"/>
          <a:ext cx="1092914"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5</xdr:col>
      <xdr:colOff>902016</xdr:colOff>
      <xdr:row>28</xdr:row>
      <xdr:rowOff>197700</xdr:rowOff>
    </xdr:from>
    <xdr:to>
      <xdr:col>6</xdr:col>
      <xdr:colOff>322088</xdr:colOff>
      <xdr:row>29</xdr:row>
      <xdr:rowOff>212187</xdr:rowOff>
    </xdr:to>
    <xdr:sp macro="" textlink="$O$21">
      <xdr:nvSpPr>
        <xdr:cNvPr id="21" name="TextBox 20">
          <a:extLst>
            <a:ext uri="{FF2B5EF4-FFF2-40B4-BE49-F238E27FC236}">
              <a16:creationId xmlns:a16="http://schemas.microsoft.com/office/drawing/2014/main" id="{00000000-0008-0000-0300-000015000000}"/>
            </a:ext>
          </a:extLst>
        </xdr:cNvPr>
        <xdr:cNvSpPr txBox="1"/>
      </xdr:nvSpPr>
      <xdr:spPr>
        <a:xfrm>
          <a:off x="9188766" y="8732100"/>
          <a:ext cx="1077422"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5B76BA5-1524-4920-93B6-2CFFA975DF6F}"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7</xdr:col>
      <xdr:colOff>1056430</xdr:colOff>
      <xdr:row>11</xdr:row>
      <xdr:rowOff>63595</xdr:rowOff>
    </xdr:from>
    <xdr:to>
      <xdr:col>8</xdr:col>
      <xdr:colOff>811955</xdr:colOff>
      <xdr:row>12</xdr:row>
      <xdr:rowOff>110747</xdr:rowOff>
    </xdr:to>
    <xdr:sp macro="" textlink="$P$4">
      <xdr:nvSpPr>
        <xdr:cNvPr id="22" name="TextBox 21">
          <a:extLst>
            <a:ext uri="{FF2B5EF4-FFF2-40B4-BE49-F238E27FC236}">
              <a16:creationId xmlns:a16="http://schemas.microsoft.com/office/drawing/2014/main" id="{00000000-0008-0000-0300-000016000000}"/>
            </a:ext>
          </a:extLst>
        </xdr:cNvPr>
        <xdr:cNvSpPr txBox="1"/>
      </xdr:nvSpPr>
      <xdr:spPr>
        <a:xfrm>
          <a:off x="12657880" y="341639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85A43732-30A9-4F12-9B8A-F3C0C178BCA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8</xdr:col>
      <xdr:colOff>255826</xdr:colOff>
      <xdr:row>25</xdr:row>
      <xdr:rowOff>206308</xdr:rowOff>
    </xdr:from>
    <xdr:to>
      <xdr:col>8</xdr:col>
      <xdr:colOff>1397554</xdr:colOff>
      <xdr:row>26</xdr:row>
      <xdr:rowOff>288187</xdr:rowOff>
    </xdr:to>
    <xdr:sp macro="" textlink="$O$25">
      <xdr:nvSpPr>
        <xdr:cNvPr id="23" name="TextBox 22">
          <a:extLst>
            <a:ext uri="{FF2B5EF4-FFF2-40B4-BE49-F238E27FC236}">
              <a16:creationId xmlns:a16="http://schemas.microsoft.com/office/drawing/2014/main" id="{00000000-0008-0000-0300-000017000000}"/>
            </a:ext>
          </a:extLst>
        </xdr:cNvPr>
        <xdr:cNvSpPr txBox="1"/>
      </xdr:nvSpPr>
      <xdr:spPr>
        <a:xfrm>
          <a:off x="13514626" y="78263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BEDF3FB-BCE7-4BA1-9F98-CBF57B207F1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7</xdr:col>
      <xdr:colOff>236776</xdr:colOff>
      <xdr:row>19</xdr:row>
      <xdr:rowOff>282508</xdr:rowOff>
    </xdr:from>
    <xdr:to>
      <xdr:col>7</xdr:col>
      <xdr:colOff>1378504</xdr:colOff>
      <xdr:row>21</xdr:row>
      <xdr:rowOff>59587</xdr:rowOff>
    </xdr:to>
    <xdr:sp macro="" textlink="$O$25">
      <xdr:nvSpPr>
        <xdr:cNvPr id="24" name="TextBox 23">
          <a:extLst>
            <a:ext uri="{FF2B5EF4-FFF2-40B4-BE49-F238E27FC236}">
              <a16:creationId xmlns:a16="http://schemas.microsoft.com/office/drawing/2014/main" id="{00000000-0008-0000-0300-000018000000}"/>
            </a:ext>
          </a:extLst>
        </xdr:cNvPr>
        <xdr:cNvSpPr txBox="1"/>
      </xdr:nvSpPr>
      <xdr:spPr>
        <a:xfrm>
          <a:off x="11838226" y="60737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3552A54-E138-4061-B2D5-E6F8B4E12B9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8</xdr:col>
      <xdr:colOff>217726</xdr:colOff>
      <xdr:row>32</xdr:row>
      <xdr:rowOff>72958</xdr:rowOff>
    </xdr:from>
    <xdr:to>
      <xdr:col>8</xdr:col>
      <xdr:colOff>1359454</xdr:colOff>
      <xdr:row>33</xdr:row>
      <xdr:rowOff>154837</xdr:rowOff>
    </xdr:to>
    <xdr:sp macro="" textlink="$O$22">
      <xdr:nvSpPr>
        <xdr:cNvPr id="25" name="TextBox 24">
          <a:extLst>
            <a:ext uri="{FF2B5EF4-FFF2-40B4-BE49-F238E27FC236}">
              <a16:creationId xmlns:a16="http://schemas.microsoft.com/office/drawing/2014/main" id="{00000000-0008-0000-0300-000019000000}"/>
            </a:ext>
          </a:extLst>
        </xdr:cNvPr>
        <xdr:cNvSpPr txBox="1"/>
      </xdr:nvSpPr>
      <xdr:spPr>
        <a:xfrm>
          <a:off x="13476526" y="982655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E9980869-F07A-4340-922D-8F49CB9B8CC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9</xdr:col>
      <xdr:colOff>286943</xdr:colOff>
      <xdr:row>24</xdr:row>
      <xdr:rowOff>114300</xdr:rowOff>
    </xdr:from>
    <xdr:to>
      <xdr:col>10</xdr:col>
      <xdr:colOff>1352550</xdr:colOff>
      <xdr:row>25</xdr:row>
      <xdr:rowOff>128512</xdr:rowOff>
    </xdr:to>
    <xdr:sp macro="" textlink="$T$2">
      <xdr:nvSpPr>
        <xdr:cNvPr id="27" name="TextBox 26">
          <a:extLst>
            <a:ext uri="{FF2B5EF4-FFF2-40B4-BE49-F238E27FC236}">
              <a16:creationId xmlns:a16="http://schemas.microsoft.com/office/drawing/2014/main" id="{00000000-0008-0000-0300-00001B000000}"/>
            </a:ext>
          </a:extLst>
        </xdr:cNvPr>
        <xdr:cNvSpPr txBox="1"/>
      </xdr:nvSpPr>
      <xdr:spPr>
        <a:xfrm>
          <a:off x="15203093" y="7429500"/>
          <a:ext cx="2722957" cy="319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8CF0D605-DCB7-4EC2-A5B5-A19250D08389}" type="TxLink">
            <a:rPr lang="en-US" sz="1600" b="0" i="0" u="none" strike="noStrike">
              <a:solidFill>
                <a:srgbClr val="000000"/>
              </a:solidFill>
              <a:latin typeface="Arial" panose="020B0604020202020204" pitchFamily="34" charset="0"/>
              <a:cs typeface="Arial" panose="020B0604020202020204" pitchFamily="34" charset="0"/>
            </a:rPr>
            <a:pPr algn="l"/>
            <a:t> </a:t>
          </a:fld>
          <a:endParaRPr lang="en-US" sz="1600" b="0">
            <a:latin typeface="Arial" pitchFamily="34" charset="0"/>
            <a:cs typeface="Arial" pitchFamily="34" charset="0"/>
          </a:endParaRPr>
        </a:p>
      </xdr:txBody>
    </xdr:sp>
    <xdr:clientData/>
  </xdr:twoCellAnchor>
  <xdr:twoCellAnchor>
    <xdr:from>
      <xdr:col>3</xdr:col>
      <xdr:colOff>295140</xdr:colOff>
      <xdr:row>29</xdr:row>
      <xdr:rowOff>194942</xdr:rowOff>
    </xdr:from>
    <xdr:to>
      <xdr:col>3</xdr:col>
      <xdr:colOff>1388054</xdr:colOff>
      <xdr:row>30</xdr:row>
      <xdr:rowOff>251301</xdr:rowOff>
    </xdr:to>
    <xdr:sp macro="" textlink="$O$20">
      <xdr:nvSpPr>
        <xdr:cNvPr id="28" name="TextBox 27">
          <a:extLst>
            <a:ext uri="{FF2B5EF4-FFF2-40B4-BE49-F238E27FC236}">
              <a16:creationId xmlns:a16="http://schemas.microsoft.com/office/drawing/2014/main" id="{00000000-0008-0000-0300-00001C000000}"/>
            </a:ext>
          </a:extLst>
        </xdr:cNvPr>
        <xdr:cNvSpPr txBox="1"/>
      </xdr:nvSpPr>
      <xdr:spPr>
        <a:xfrm>
          <a:off x="5267190" y="9034142"/>
          <a:ext cx="1092914"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4</xdr:col>
      <xdr:colOff>66540</xdr:colOff>
      <xdr:row>28</xdr:row>
      <xdr:rowOff>271142</xdr:rowOff>
    </xdr:from>
    <xdr:to>
      <xdr:col>4</xdr:col>
      <xdr:colOff>1159454</xdr:colOff>
      <xdr:row>30</xdr:row>
      <xdr:rowOff>22701</xdr:rowOff>
    </xdr:to>
    <xdr:sp macro="" textlink="$P$27">
      <xdr:nvSpPr>
        <xdr:cNvPr id="29" name="TextBox 28">
          <a:extLst>
            <a:ext uri="{FF2B5EF4-FFF2-40B4-BE49-F238E27FC236}">
              <a16:creationId xmlns:a16="http://schemas.microsoft.com/office/drawing/2014/main" id="{00000000-0008-0000-0300-00001D000000}"/>
            </a:ext>
          </a:extLst>
        </xdr:cNvPr>
        <xdr:cNvSpPr txBox="1"/>
      </xdr:nvSpPr>
      <xdr:spPr>
        <a:xfrm>
          <a:off x="6695940" y="8805542"/>
          <a:ext cx="1092914"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DDBB78D7-4614-4C31-A734-18A2524B08B9}" type="TxLink">
            <a:rPr lang="en-US" sz="1400" b="0" i="0" u="none" strike="noStrike">
              <a:solidFill>
                <a:sysClr val="windowText" lastClr="000000"/>
              </a:solidFill>
              <a:latin typeface="Arial" panose="020B0604020202020204" pitchFamily="34" charset="0"/>
              <a:cs typeface="Arial" panose="020B0604020202020204" pitchFamily="34" charset="0"/>
            </a:rPr>
            <a:pPr algn="l"/>
            <a:t> </a:t>
          </a:fld>
          <a:endParaRPr lang="en-US" sz="1400" b="0">
            <a:solidFill>
              <a:sysClr val="windowText" lastClr="000000"/>
            </a:solidFill>
            <a:latin typeface="Arial" pitchFamily="34" charset="0"/>
            <a:cs typeface="Arial" pitchFamily="34" charset="0"/>
          </a:endParaRPr>
        </a:p>
      </xdr:txBody>
    </xdr:sp>
    <xdr:clientData/>
  </xdr:twoCellAnchor>
  <xdr:twoCellAnchor>
    <xdr:from>
      <xdr:col>1</xdr:col>
      <xdr:colOff>1171440</xdr:colOff>
      <xdr:row>4</xdr:row>
      <xdr:rowOff>228600</xdr:rowOff>
    </xdr:from>
    <xdr:to>
      <xdr:col>2</xdr:col>
      <xdr:colOff>381000</xdr:colOff>
      <xdr:row>6</xdr:row>
      <xdr:rowOff>3651</xdr:rowOff>
    </xdr:to>
    <xdr:sp macro="" textlink="$P$2">
      <xdr:nvSpPr>
        <xdr:cNvPr id="30" name="TextBox 29">
          <a:extLst>
            <a:ext uri="{FF2B5EF4-FFF2-40B4-BE49-F238E27FC236}">
              <a16:creationId xmlns:a16="http://schemas.microsoft.com/office/drawing/2014/main" id="{00000000-0008-0000-0300-00001E000000}"/>
            </a:ext>
          </a:extLst>
        </xdr:cNvPr>
        <xdr:cNvSpPr txBox="1"/>
      </xdr:nvSpPr>
      <xdr:spPr>
        <a:xfrm>
          <a:off x="2828790" y="1447800"/>
          <a:ext cx="866910" cy="384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39ABB281-18C4-4B63-B531-D67B0FEC993C}" type="TxLink">
            <a:rPr lang="en-US" sz="1400" b="0" i="0" u="none" strike="noStrike">
              <a:solidFill>
                <a:srgbClr val="000000"/>
              </a:solidFill>
              <a:latin typeface="Arial" panose="020B0604020202020204" pitchFamily="34" charset="0"/>
              <a:cs typeface="Arial" panose="020B0604020202020204" pitchFamily="34" charset="0"/>
            </a:rPr>
            <a:pPr algn="ctr"/>
            <a:t> -- </a:t>
          </a:fld>
          <a:endParaRPr lang="en-US" sz="1400" b="0">
            <a:latin typeface="Arial" pitchFamily="34" charset="0"/>
            <a:cs typeface="Arial" pitchFamily="34" charset="0"/>
          </a:endParaRPr>
        </a:p>
      </xdr:txBody>
    </xdr:sp>
    <xdr:clientData/>
  </xdr:twoCellAnchor>
  <xdr:twoCellAnchor>
    <xdr:from>
      <xdr:col>5</xdr:col>
      <xdr:colOff>655876</xdr:colOff>
      <xdr:row>41</xdr:row>
      <xdr:rowOff>282508</xdr:rowOff>
    </xdr:from>
    <xdr:to>
      <xdr:col>6</xdr:col>
      <xdr:colOff>723900</xdr:colOff>
      <xdr:row>43</xdr:row>
      <xdr:rowOff>76200</xdr:rowOff>
    </xdr:to>
    <xdr:sp macro="" textlink="$Q$27">
      <xdr:nvSpPr>
        <xdr:cNvPr id="31" name="TextBox 30">
          <a:extLst>
            <a:ext uri="{FF2B5EF4-FFF2-40B4-BE49-F238E27FC236}">
              <a16:creationId xmlns:a16="http://schemas.microsoft.com/office/drawing/2014/main" id="{00000000-0008-0000-0300-00001F000000}"/>
            </a:ext>
          </a:extLst>
        </xdr:cNvPr>
        <xdr:cNvSpPr txBox="1"/>
      </xdr:nvSpPr>
      <xdr:spPr>
        <a:xfrm>
          <a:off x="8942626" y="12779308"/>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FEB2A00C-BADE-46C4-8AA9-371DDEAE852F}"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2</xdr:col>
      <xdr:colOff>1055926</xdr:colOff>
      <xdr:row>40</xdr:row>
      <xdr:rowOff>130108</xdr:rowOff>
    </xdr:from>
    <xdr:to>
      <xdr:col>3</xdr:col>
      <xdr:colOff>1123950</xdr:colOff>
      <xdr:row>41</xdr:row>
      <xdr:rowOff>228600</xdr:rowOff>
    </xdr:to>
    <xdr:sp macro="" textlink="$S$7">
      <xdr:nvSpPr>
        <xdr:cNvPr id="32" name="TextBox 31">
          <a:extLst>
            <a:ext uri="{FF2B5EF4-FFF2-40B4-BE49-F238E27FC236}">
              <a16:creationId xmlns:a16="http://schemas.microsoft.com/office/drawing/2014/main" id="{00000000-0008-0000-0300-000020000000}"/>
            </a:ext>
          </a:extLst>
        </xdr:cNvPr>
        <xdr:cNvSpPr txBox="1"/>
      </xdr:nvSpPr>
      <xdr:spPr>
        <a:xfrm>
          <a:off x="4370626" y="12322108"/>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660C8D4A-E110-43CE-861F-D69ABE0AB51B}"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4</xdr:col>
      <xdr:colOff>485640</xdr:colOff>
      <xdr:row>27</xdr:row>
      <xdr:rowOff>194942</xdr:rowOff>
    </xdr:from>
    <xdr:to>
      <xdr:col>4</xdr:col>
      <xdr:colOff>1569029</xdr:colOff>
      <xdr:row>28</xdr:row>
      <xdr:rowOff>251301</xdr:rowOff>
    </xdr:to>
    <xdr:sp macro="" textlink="$P$26">
      <xdr:nvSpPr>
        <xdr:cNvPr id="33" name="TextBox 32">
          <a:extLst>
            <a:ext uri="{FF2B5EF4-FFF2-40B4-BE49-F238E27FC236}">
              <a16:creationId xmlns:a16="http://schemas.microsoft.com/office/drawing/2014/main" id="{00000000-0008-0000-0300-000021000000}"/>
            </a:ext>
          </a:extLst>
        </xdr:cNvPr>
        <xdr:cNvSpPr txBox="1"/>
      </xdr:nvSpPr>
      <xdr:spPr>
        <a:xfrm>
          <a:off x="7115040" y="8424542"/>
          <a:ext cx="1083389"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A5E329BA-EAD4-47A8-981E-1C354F05B163}" type="TxLink">
            <a:rPr lang="en-US" sz="1400" b="0" i="0" u="none" strike="noStrike">
              <a:solidFill>
                <a:sysClr val="windowText" lastClr="000000"/>
              </a:solidFill>
              <a:latin typeface="Arial" panose="020B0604020202020204" pitchFamily="34" charset="0"/>
              <a:cs typeface="Arial" panose="020B0604020202020204" pitchFamily="34" charset="0"/>
            </a:rPr>
            <a:pPr algn="l"/>
            <a:t> </a:t>
          </a:fld>
          <a:endParaRPr lang="en-US" sz="1400" b="0">
            <a:solidFill>
              <a:sysClr val="windowText" lastClr="000000"/>
            </a:solidFill>
            <a:latin typeface="Arial" pitchFamily="34" charset="0"/>
            <a:cs typeface="Arial" pitchFamily="34" charset="0"/>
          </a:endParaRPr>
        </a:p>
      </xdr:txBody>
    </xdr:sp>
    <xdr:clientData/>
  </xdr:twoCellAnchor>
  <xdr:twoCellAnchor>
    <xdr:from>
      <xdr:col>0</xdr:col>
      <xdr:colOff>285750</xdr:colOff>
      <xdr:row>1</xdr:row>
      <xdr:rowOff>266700</xdr:rowOff>
    </xdr:from>
    <xdr:to>
      <xdr:col>9</xdr:col>
      <xdr:colOff>342900</xdr:colOff>
      <xdr:row>4</xdr:row>
      <xdr:rowOff>266700</xdr:rowOff>
    </xdr:to>
    <xdr:sp macro="" textlink="N28">
      <xdr:nvSpPr>
        <xdr:cNvPr id="34" name="TextBox 33">
          <a:extLst>
            <a:ext uri="{FF2B5EF4-FFF2-40B4-BE49-F238E27FC236}">
              <a16:creationId xmlns:a16="http://schemas.microsoft.com/office/drawing/2014/main" id="{00000000-0008-0000-0300-000022000000}"/>
            </a:ext>
          </a:extLst>
        </xdr:cNvPr>
        <xdr:cNvSpPr txBox="1"/>
      </xdr:nvSpPr>
      <xdr:spPr>
        <a:xfrm>
          <a:off x="285750" y="571500"/>
          <a:ext cx="149733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752FEC44-4991-4FBE-A413-219032EBB146}" type="TxLink">
            <a:rPr lang="en-US" sz="2400" b="0" i="0" u="none" strike="noStrike">
              <a:solidFill>
                <a:srgbClr val="FF0000"/>
              </a:solidFill>
              <a:latin typeface="Arial" panose="020B0604020202020204" pitchFamily="34" charset="0"/>
              <a:cs typeface="Arial" panose="020B0604020202020204" pitchFamily="34" charset="0"/>
            </a:rPr>
            <a:pPr algn="l"/>
            <a:t>Hydro International Does Not Recommend Use of This Drawing for the Design Parameters Entered. Use DWG 1-6 Modules (Online) on Tab 3a.</a:t>
          </a:fld>
          <a:endParaRPr lang="en-US" sz="2400" b="1">
            <a:solidFill>
              <a:srgbClr val="FF0000"/>
            </a:solidFill>
            <a:latin typeface="Arial" pitchFamily="34" charset="0"/>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xdr:colOff>
      <xdr:row>0</xdr:row>
      <xdr:rowOff>171449</xdr:rowOff>
    </xdr:from>
    <xdr:to>
      <xdr:col>10</xdr:col>
      <xdr:colOff>1283596</xdr:colOff>
      <xdr:row>47</xdr:row>
      <xdr:rowOff>38098</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603826" y="-1432372"/>
          <a:ext cx="14649449" cy="17857091"/>
        </a:xfrm>
        <a:prstGeom prst="rect">
          <a:avLst/>
        </a:prstGeom>
        <a:ln>
          <a:noFill/>
        </a:ln>
      </xdr:spPr>
    </xdr:pic>
    <xdr:clientData/>
  </xdr:twoCellAnchor>
  <xdr:twoCellAnchor>
    <xdr:from>
      <xdr:col>7</xdr:col>
      <xdr:colOff>896543</xdr:colOff>
      <xdr:row>4</xdr:row>
      <xdr:rowOff>156977</xdr:rowOff>
    </xdr:from>
    <xdr:to>
      <xdr:col>8</xdr:col>
      <xdr:colOff>652068</xdr:colOff>
      <xdr:row>5</xdr:row>
      <xdr:rowOff>204712</xdr:rowOff>
    </xdr:to>
    <xdr:sp macro="" textlink="$R$2">
      <xdr:nvSpPr>
        <xdr:cNvPr id="3" name="TextBox 2">
          <a:extLst>
            <a:ext uri="{FF2B5EF4-FFF2-40B4-BE49-F238E27FC236}">
              <a16:creationId xmlns:a16="http://schemas.microsoft.com/office/drawing/2014/main" id="{00000000-0008-0000-0400-000003000000}"/>
            </a:ext>
          </a:extLst>
        </xdr:cNvPr>
        <xdr:cNvSpPr txBox="1"/>
      </xdr:nvSpPr>
      <xdr:spPr>
        <a:xfrm>
          <a:off x="12497993" y="1528577"/>
          <a:ext cx="1412875" cy="352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2C5991A-E921-4EB5-9C3F-B41EC6187921}" type="TxLink">
            <a:rPr lang="en-US" sz="1400" b="1" i="0" u="none" strike="noStrike">
              <a:solidFill>
                <a:srgbClr val="000000"/>
              </a:solidFill>
              <a:latin typeface="Arial" pitchFamily="34" charset="0"/>
              <a:cs typeface="Arial" pitchFamily="34" charset="0"/>
            </a:rPr>
            <a:pPr algn="r"/>
            <a:t> </a:t>
          </a:fld>
          <a:endParaRPr lang="en-US" sz="1400" b="1">
            <a:latin typeface="Arial" pitchFamily="34" charset="0"/>
            <a:cs typeface="Arial" pitchFamily="34" charset="0"/>
          </a:endParaRPr>
        </a:p>
      </xdr:txBody>
    </xdr:sp>
    <xdr:clientData/>
  </xdr:twoCellAnchor>
  <xdr:twoCellAnchor>
    <xdr:from>
      <xdr:col>7</xdr:col>
      <xdr:colOff>1037202</xdr:colOff>
      <xdr:row>5</xdr:row>
      <xdr:rowOff>234340</xdr:rowOff>
    </xdr:from>
    <xdr:to>
      <xdr:col>8</xdr:col>
      <xdr:colOff>496011</xdr:colOff>
      <xdr:row>6</xdr:row>
      <xdr:rowOff>279760</xdr:rowOff>
    </xdr:to>
    <xdr:sp macro="" textlink="$P$18">
      <xdr:nvSpPr>
        <xdr:cNvPr id="4" name="TextBox 3">
          <a:extLst>
            <a:ext uri="{FF2B5EF4-FFF2-40B4-BE49-F238E27FC236}">
              <a16:creationId xmlns:a16="http://schemas.microsoft.com/office/drawing/2014/main" id="{00000000-0008-0000-0400-000004000000}"/>
            </a:ext>
          </a:extLst>
        </xdr:cNvPr>
        <xdr:cNvSpPr txBox="1"/>
      </xdr:nvSpPr>
      <xdr:spPr>
        <a:xfrm>
          <a:off x="12638652" y="1910740"/>
          <a:ext cx="1116159"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4BEB4FE9-F372-4D15-A2B5-B552C7591B1A}" type="TxLink">
            <a:rPr lang="en-US" sz="1400" b="1" i="0" u="none" strike="noStrike">
              <a:solidFill>
                <a:srgbClr val="000000"/>
              </a:solidFill>
              <a:latin typeface="Arial" panose="020B0604020202020204" pitchFamily="34" charset="0"/>
              <a:cs typeface="Arial" panose="020B0604020202020204" pitchFamily="34" charset="0"/>
            </a:rPr>
            <a:pPr algn="r"/>
            <a:t> </a:t>
          </a:fld>
          <a:endParaRPr lang="en-US" sz="1400" b="1">
            <a:latin typeface="Arial" pitchFamily="34" charset="0"/>
            <a:cs typeface="Arial" pitchFamily="34" charset="0"/>
          </a:endParaRPr>
        </a:p>
      </xdr:txBody>
    </xdr:sp>
    <xdr:clientData/>
  </xdr:twoCellAnchor>
  <xdr:twoCellAnchor>
    <xdr:from>
      <xdr:col>7</xdr:col>
      <xdr:colOff>915418</xdr:colOff>
      <xdr:row>7</xdr:row>
      <xdr:rowOff>71112</xdr:rowOff>
    </xdr:from>
    <xdr:to>
      <xdr:col>8</xdr:col>
      <xdr:colOff>660933</xdr:colOff>
      <xdr:row>8</xdr:row>
      <xdr:rowOff>116533</xdr:rowOff>
    </xdr:to>
    <xdr:sp macro="" textlink="$P$7">
      <xdr:nvSpPr>
        <xdr:cNvPr id="5" name="TextBox 4">
          <a:extLst>
            <a:ext uri="{FF2B5EF4-FFF2-40B4-BE49-F238E27FC236}">
              <a16:creationId xmlns:a16="http://schemas.microsoft.com/office/drawing/2014/main" id="{00000000-0008-0000-0400-000005000000}"/>
            </a:ext>
          </a:extLst>
        </xdr:cNvPr>
        <xdr:cNvSpPr txBox="1"/>
      </xdr:nvSpPr>
      <xdr:spPr>
        <a:xfrm>
          <a:off x="12516868" y="2357112"/>
          <a:ext cx="1402865"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96C5EDC-4E90-4C4D-82F6-5BE0883DDB9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902999</xdr:colOff>
      <xdr:row>8</xdr:row>
      <xdr:rowOff>163567</xdr:rowOff>
    </xdr:from>
    <xdr:to>
      <xdr:col>8</xdr:col>
      <xdr:colOff>658524</xdr:colOff>
      <xdr:row>9</xdr:row>
      <xdr:rowOff>208987</xdr:rowOff>
    </xdr:to>
    <xdr:sp macro="" textlink="$P$8">
      <xdr:nvSpPr>
        <xdr:cNvPr id="6" name="TextBox 5">
          <a:extLst>
            <a:ext uri="{FF2B5EF4-FFF2-40B4-BE49-F238E27FC236}">
              <a16:creationId xmlns:a16="http://schemas.microsoft.com/office/drawing/2014/main" id="{00000000-0008-0000-0400-000006000000}"/>
            </a:ext>
          </a:extLst>
        </xdr:cNvPr>
        <xdr:cNvSpPr txBox="1"/>
      </xdr:nvSpPr>
      <xdr:spPr>
        <a:xfrm>
          <a:off x="12504449" y="2754367"/>
          <a:ext cx="1412875"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68C75C31-1BEE-448E-A90C-52DE92549629}"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980188</xdr:colOff>
      <xdr:row>13</xdr:row>
      <xdr:rowOff>282261</xdr:rowOff>
    </xdr:from>
    <xdr:to>
      <xdr:col>8</xdr:col>
      <xdr:colOff>668205</xdr:colOff>
      <xdr:row>15</xdr:row>
      <xdr:rowOff>22882</xdr:rowOff>
    </xdr:to>
    <xdr:sp macro="" textlink="$P$14">
      <xdr:nvSpPr>
        <xdr:cNvPr id="7" name="TextBox 6">
          <a:extLst>
            <a:ext uri="{FF2B5EF4-FFF2-40B4-BE49-F238E27FC236}">
              <a16:creationId xmlns:a16="http://schemas.microsoft.com/office/drawing/2014/main" id="{00000000-0008-0000-0400-000007000000}"/>
            </a:ext>
          </a:extLst>
        </xdr:cNvPr>
        <xdr:cNvSpPr txBox="1"/>
      </xdr:nvSpPr>
      <xdr:spPr>
        <a:xfrm>
          <a:off x="12581638" y="4397061"/>
          <a:ext cx="1345367"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9D8DF98E-6A47-47B0-9911-4CBCD738B438}"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7</xdr:col>
      <xdr:colOff>904030</xdr:colOff>
      <xdr:row>11</xdr:row>
      <xdr:rowOff>63595</xdr:rowOff>
    </xdr:from>
    <xdr:to>
      <xdr:col>8</xdr:col>
      <xdr:colOff>659555</xdr:colOff>
      <xdr:row>12</xdr:row>
      <xdr:rowOff>110747</xdr:rowOff>
    </xdr:to>
    <xdr:sp macro="" textlink="$P$10">
      <xdr:nvSpPr>
        <xdr:cNvPr id="8" name="TextBox 7">
          <a:extLst>
            <a:ext uri="{FF2B5EF4-FFF2-40B4-BE49-F238E27FC236}">
              <a16:creationId xmlns:a16="http://schemas.microsoft.com/office/drawing/2014/main" id="{00000000-0008-0000-0400-000008000000}"/>
            </a:ext>
          </a:extLst>
        </xdr:cNvPr>
        <xdr:cNvSpPr txBox="1"/>
      </xdr:nvSpPr>
      <xdr:spPr>
        <a:xfrm>
          <a:off x="12505480" y="356879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928F92A-7701-45AD-B328-8E1562278BA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903246</xdr:colOff>
      <xdr:row>12</xdr:row>
      <xdr:rowOff>191913</xdr:rowOff>
    </xdr:from>
    <xdr:to>
      <xdr:col>8</xdr:col>
      <xdr:colOff>668296</xdr:colOff>
      <xdr:row>13</xdr:row>
      <xdr:rowOff>237334</xdr:rowOff>
    </xdr:to>
    <xdr:sp macro="" textlink="$P$11">
      <xdr:nvSpPr>
        <xdr:cNvPr id="9" name="TextBox 8">
          <a:extLst>
            <a:ext uri="{FF2B5EF4-FFF2-40B4-BE49-F238E27FC236}">
              <a16:creationId xmlns:a16="http://schemas.microsoft.com/office/drawing/2014/main" id="{00000000-0008-0000-0400-000009000000}"/>
            </a:ext>
          </a:extLst>
        </xdr:cNvPr>
        <xdr:cNvSpPr txBox="1"/>
      </xdr:nvSpPr>
      <xdr:spPr>
        <a:xfrm>
          <a:off x="12504696" y="4001913"/>
          <a:ext cx="1422400"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B23A8DE-BFA4-49F6-9E84-2E8AA061E33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8</xdr:col>
      <xdr:colOff>1454310</xdr:colOff>
      <xdr:row>2</xdr:row>
      <xdr:rowOff>167289</xdr:rowOff>
    </xdr:from>
    <xdr:to>
      <xdr:col>10</xdr:col>
      <xdr:colOff>844710</xdr:colOff>
      <xdr:row>5</xdr:row>
      <xdr:rowOff>224439</xdr:rowOff>
    </xdr:to>
    <xdr:sp macro="" textlink="$N$15">
      <xdr:nvSpPr>
        <xdr:cNvPr id="10" name="TextBox 9">
          <a:extLst>
            <a:ext uri="{FF2B5EF4-FFF2-40B4-BE49-F238E27FC236}">
              <a16:creationId xmlns:a16="http://schemas.microsoft.com/office/drawing/2014/main" id="{00000000-0008-0000-0400-00000A000000}"/>
            </a:ext>
          </a:extLst>
        </xdr:cNvPr>
        <xdr:cNvSpPr txBox="1"/>
      </xdr:nvSpPr>
      <xdr:spPr>
        <a:xfrm>
          <a:off x="14713110" y="929289"/>
          <a:ext cx="270510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D6DD86-B9C9-4F3C-B9C1-38C8DB51BC58}"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8</xdr:col>
      <xdr:colOff>1450937</xdr:colOff>
      <xdr:row>5</xdr:row>
      <xdr:rowOff>171450</xdr:rowOff>
    </xdr:from>
    <xdr:to>
      <xdr:col>10</xdr:col>
      <xdr:colOff>958821</xdr:colOff>
      <xdr:row>10</xdr:row>
      <xdr:rowOff>45028</xdr:rowOff>
    </xdr:to>
    <xdr:sp macro="" textlink="$N$16">
      <xdr:nvSpPr>
        <xdr:cNvPr id="11" name="TextBox 10">
          <a:extLst>
            <a:ext uri="{FF2B5EF4-FFF2-40B4-BE49-F238E27FC236}">
              <a16:creationId xmlns:a16="http://schemas.microsoft.com/office/drawing/2014/main" id="{00000000-0008-0000-0400-00000B000000}"/>
            </a:ext>
          </a:extLst>
        </xdr:cNvPr>
        <xdr:cNvSpPr txBox="1"/>
      </xdr:nvSpPr>
      <xdr:spPr>
        <a:xfrm>
          <a:off x="14709737" y="1847850"/>
          <a:ext cx="2822584" cy="1397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47376E3-0918-4492-AA43-D0CFE27E0F9B}" type="TxLink">
            <a:rPr lang="en-US" sz="1200" b="1" i="0" u="none" strike="noStrike">
              <a:solidFill>
                <a:srgbClr val="000000"/>
              </a:solidFill>
              <a:latin typeface="Arial" pitchFamily="34" charset="0"/>
              <a:cs typeface="Arial" pitchFamily="34" charset="0"/>
            </a:rPr>
            <a:pPr/>
            <a:t>2.  REFER TO SUBMITTAL OR FABRICATION DRAWINGS FOR FINAL RIM AND INVERT ELEVATIONS. </a:t>
          </a:fld>
          <a:endParaRPr lang="en-US" sz="1200" b="1">
            <a:latin typeface="Arial" pitchFamily="34" charset="0"/>
            <a:cs typeface="Arial" pitchFamily="34" charset="0"/>
          </a:endParaRPr>
        </a:p>
      </xdr:txBody>
    </xdr:sp>
    <xdr:clientData/>
  </xdr:twoCellAnchor>
  <xdr:twoCellAnchor>
    <xdr:from>
      <xdr:col>8</xdr:col>
      <xdr:colOff>1452549</xdr:colOff>
      <xdr:row>8</xdr:row>
      <xdr:rowOff>38100</xdr:rowOff>
    </xdr:from>
    <xdr:to>
      <xdr:col>10</xdr:col>
      <xdr:colOff>849308</xdr:colOff>
      <xdr:row>11</xdr:row>
      <xdr:rowOff>34034</xdr:rowOff>
    </xdr:to>
    <xdr:sp macro="" textlink="$N$17">
      <xdr:nvSpPr>
        <xdr:cNvPr id="12" name="TextBox 11">
          <a:extLst>
            <a:ext uri="{FF2B5EF4-FFF2-40B4-BE49-F238E27FC236}">
              <a16:creationId xmlns:a16="http://schemas.microsoft.com/office/drawing/2014/main" id="{00000000-0008-0000-0400-00000C000000}"/>
            </a:ext>
          </a:extLst>
        </xdr:cNvPr>
        <xdr:cNvSpPr txBox="1"/>
      </xdr:nvSpPr>
      <xdr:spPr>
        <a:xfrm>
          <a:off x="14711349" y="2628900"/>
          <a:ext cx="2711459" cy="9103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5FC0DA-B96E-47B4-A12E-BA4592E46728}" type="TxLink">
            <a:rPr lang="en-US" sz="1200" b="1" i="0" u="none" strike="noStrike">
              <a:solidFill>
                <a:srgbClr val="000000"/>
              </a:solidFill>
              <a:latin typeface="Arial" panose="020B0604020202020204" pitchFamily="34" charset="0"/>
              <a:cs typeface="Arial" panose="020B0604020202020204"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8</xdr:col>
      <xdr:colOff>1415644</xdr:colOff>
      <xdr:row>24</xdr:row>
      <xdr:rowOff>247650</xdr:rowOff>
    </xdr:from>
    <xdr:to>
      <xdr:col>10</xdr:col>
      <xdr:colOff>971550</xdr:colOff>
      <xdr:row>27</xdr:row>
      <xdr:rowOff>95250</xdr:rowOff>
    </xdr:to>
    <xdr:sp macro="" textlink="'2-Sizing'!$D$11:$E$11">
      <xdr:nvSpPr>
        <xdr:cNvPr id="13" name="TextBox 12">
          <a:extLst>
            <a:ext uri="{FF2B5EF4-FFF2-40B4-BE49-F238E27FC236}">
              <a16:creationId xmlns:a16="http://schemas.microsoft.com/office/drawing/2014/main" id="{00000000-0008-0000-0400-00000D000000}"/>
            </a:ext>
          </a:extLst>
        </xdr:cNvPr>
        <xdr:cNvSpPr txBox="1"/>
      </xdr:nvSpPr>
      <xdr:spPr>
        <a:xfrm>
          <a:off x="14674444" y="7562850"/>
          <a:ext cx="2870606"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3B3309-7C09-4E98-83DC-084CDFE7C20F}"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8</xdr:col>
      <xdr:colOff>1417278</xdr:colOff>
      <xdr:row>27</xdr:row>
      <xdr:rowOff>76200</xdr:rowOff>
    </xdr:from>
    <xdr:to>
      <xdr:col>10</xdr:col>
      <xdr:colOff>971549</xdr:colOff>
      <xdr:row>29</xdr:row>
      <xdr:rowOff>247650</xdr:rowOff>
    </xdr:to>
    <xdr:sp macro="" textlink="'2-Sizing'!D12:E12">
      <xdr:nvSpPr>
        <xdr:cNvPr id="14" name="TextBox 13">
          <a:extLst>
            <a:ext uri="{FF2B5EF4-FFF2-40B4-BE49-F238E27FC236}">
              <a16:creationId xmlns:a16="http://schemas.microsoft.com/office/drawing/2014/main" id="{00000000-0008-0000-0400-00000E000000}"/>
            </a:ext>
          </a:extLst>
        </xdr:cNvPr>
        <xdr:cNvSpPr txBox="1"/>
      </xdr:nvSpPr>
      <xdr:spPr>
        <a:xfrm>
          <a:off x="14676078" y="8305800"/>
          <a:ext cx="2868971"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BAA6FE-849C-4A93-8711-407928577E2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7</xdr:col>
      <xdr:colOff>880249</xdr:colOff>
      <xdr:row>23</xdr:row>
      <xdr:rowOff>119515</xdr:rowOff>
    </xdr:from>
    <xdr:to>
      <xdr:col>8</xdr:col>
      <xdr:colOff>389490</xdr:colOff>
      <xdr:row>24</xdr:row>
      <xdr:rowOff>134002</xdr:rowOff>
    </xdr:to>
    <xdr:sp macro="" textlink="$O$19">
      <xdr:nvSpPr>
        <xdr:cNvPr id="15" name="TextBox 14">
          <a:extLst>
            <a:ext uri="{FF2B5EF4-FFF2-40B4-BE49-F238E27FC236}">
              <a16:creationId xmlns:a16="http://schemas.microsoft.com/office/drawing/2014/main" id="{00000000-0008-0000-0400-00000F000000}"/>
            </a:ext>
          </a:extLst>
        </xdr:cNvPr>
        <xdr:cNvSpPr txBox="1"/>
      </xdr:nvSpPr>
      <xdr:spPr>
        <a:xfrm>
          <a:off x="12481699" y="7282315"/>
          <a:ext cx="1166591"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E23C439-9C17-4F20-9A6A-9C04D563DB9D}" type="TxLink">
            <a:rPr lang="en-US" sz="1400" b="0" i="0" u="none" strike="noStrike">
              <a:solidFill>
                <a:sysClr val="windowText" lastClr="000000"/>
              </a:solidFill>
              <a:latin typeface="Arial" pitchFamily="34" charset="0"/>
              <a:cs typeface="Arial"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4</xdr:col>
      <xdr:colOff>999990</xdr:colOff>
      <xdr:row>27</xdr:row>
      <xdr:rowOff>233042</xdr:rowOff>
    </xdr:from>
    <xdr:to>
      <xdr:col>5</xdr:col>
      <xdr:colOff>435554</xdr:colOff>
      <xdr:row>28</xdr:row>
      <xdr:rowOff>289401</xdr:rowOff>
    </xdr:to>
    <xdr:sp macro="" textlink="$O$20">
      <xdr:nvSpPr>
        <xdr:cNvPr id="16" name="TextBox 15">
          <a:extLst>
            <a:ext uri="{FF2B5EF4-FFF2-40B4-BE49-F238E27FC236}">
              <a16:creationId xmlns:a16="http://schemas.microsoft.com/office/drawing/2014/main" id="{00000000-0008-0000-0400-000010000000}"/>
            </a:ext>
          </a:extLst>
        </xdr:cNvPr>
        <xdr:cNvSpPr txBox="1"/>
      </xdr:nvSpPr>
      <xdr:spPr>
        <a:xfrm>
          <a:off x="7629390" y="8615042"/>
          <a:ext cx="1092914"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7</xdr:col>
      <xdr:colOff>1359216</xdr:colOff>
      <xdr:row>27</xdr:row>
      <xdr:rowOff>26250</xdr:rowOff>
    </xdr:from>
    <xdr:to>
      <xdr:col>8</xdr:col>
      <xdr:colOff>779288</xdr:colOff>
      <xdr:row>28</xdr:row>
      <xdr:rowOff>40737</xdr:rowOff>
    </xdr:to>
    <xdr:sp macro="" textlink="$O$21">
      <xdr:nvSpPr>
        <xdr:cNvPr id="17" name="TextBox 16">
          <a:extLst>
            <a:ext uri="{FF2B5EF4-FFF2-40B4-BE49-F238E27FC236}">
              <a16:creationId xmlns:a16="http://schemas.microsoft.com/office/drawing/2014/main" id="{00000000-0008-0000-0400-000011000000}"/>
            </a:ext>
          </a:extLst>
        </xdr:cNvPr>
        <xdr:cNvSpPr txBox="1"/>
      </xdr:nvSpPr>
      <xdr:spPr>
        <a:xfrm>
          <a:off x="12960666" y="8408250"/>
          <a:ext cx="1077422"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5B76BA5-1524-4920-93B6-2CFFA975DF6F}" type="TxLink">
            <a:rPr lang="en-US" sz="1400" b="0" i="0" u="none" strike="noStrike">
              <a:solidFill>
                <a:sysClr val="windowText" lastClr="000000"/>
              </a:solidFill>
              <a:latin typeface="Arial" pitchFamily="34" charset="0"/>
              <a:cs typeface="Arial"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7</xdr:col>
      <xdr:colOff>904030</xdr:colOff>
      <xdr:row>9</xdr:row>
      <xdr:rowOff>273145</xdr:rowOff>
    </xdr:from>
    <xdr:to>
      <xdr:col>8</xdr:col>
      <xdr:colOff>659555</xdr:colOff>
      <xdr:row>11</xdr:row>
      <xdr:rowOff>15497</xdr:rowOff>
    </xdr:to>
    <xdr:sp macro="" textlink="$P$4">
      <xdr:nvSpPr>
        <xdr:cNvPr id="18" name="TextBox 17">
          <a:extLst>
            <a:ext uri="{FF2B5EF4-FFF2-40B4-BE49-F238E27FC236}">
              <a16:creationId xmlns:a16="http://schemas.microsoft.com/office/drawing/2014/main" id="{00000000-0008-0000-0400-000012000000}"/>
            </a:ext>
          </a:extLst>
        </xdr:cNvPr>
        <xdr:cNvSpPr txBox="1"/>
      </xdr:nvSpPr>
      <xdr:spPr>
        <a:xfrm>
          <a:off x="12505480" y="316874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85A43732-30A9-4F12-9B8A-F3C0C178BCA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1</xdr:col>
      <xdr:colOff>389176</xdr:colOff>
      <xdr:row>25</xdr:row>
      <xdr:rowOff>72958</xdr:rowOff>
    </xdr:from>
    <xdr:to>
      <xdr:col>1</xdr:col>
      <xdr:colOff>1530904</xdr:colOff>
      <xdr:row>26</xdr:row>
      <xdr:rowOff>154837</xdr:rowOff>
    </xdr:to>
    <xdr:sp macro="" textlink="$O$25">
      <xdr:nvSpPr>
        <xdr:cNvPr id="19" name="TextBox 18">
          <a:extLst>
            <a:ext uri="{FF2B5EF4-FFF2-40B4-BE49-F238E27FC236}">
              <a16:creationId xmlns:a16="http://schemas.microsoft.com/office/drawing/2014/main" id="{00000000-0008-0000-0400-000013000000}"/>
            </a:ext>
          </a:extLst>
        </xdr:cNvPr>
        <xdr:cNvSpPr txBox="1"/>
      </xdr:nvSpPr>
      <xdr:spPr>
        <a:xfrm>
          <a:off x="2046526" y="784535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BEDF3FB-BCE7-4BA1-9F98-CBF57B207F1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7</xdr:col>
      <xdr:colOff>1170226</xdr:colOff>
      <xdr:row>20</xdr:row>
      <xdr:rowOff>225358</xdr:rowOff>
    </xdr:from>
    <xdr:to>
      <xdr:col>8</xdr:col>
      <xdr:colOff>654604</xdr:colOff>
      <xdr:row>22</xdr:row>
      <xdr:rowOff>2437</xdr:rowOff>
    </xdr:to>
    <xdr:sp macro="" textlink="$O$25">
      <xdr:nvSpPr>
        <xdr:cNvPr id="20" name="TextBox 19">
          <a:extLst>
            <a:ext uri="{FF2B5EF4-FFF2-40B4-BE49-F238E27FC236}">
              <a16:creationId xmlns:a16="http://schemas.microsoft.com/office/drawing/2014/main" id="{00000000-0008-0000-0400-000014000000}"/>
            </a:ext>
          </a:extLst>
        </xdr:cNvPr>
        <xdr:cNvSpPr txBox="1"/>
      </xdr:nvSpPr>
      <xdr:spPr>
        <a:xfrm>
          <a:off x="12771676" y="647375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3552A54-E138-4061-B2D5-E6F8B4E12B9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4</xdr:col>
      <xdr:colOff>1132126</xdr:colOff>
      <xdr:row>29</xdr:row>
      <xdr:rowOff>206308</xdr:rowOff>
    </xdr:from>
    <xdr:to>
      <xdr:col>5</xdr:col>
      <xdr:colOff>616504</xdr:colOff>
      <xdr:row>30</xdr:row>
      <xdr:rowOff>288187</xdr:rowOff>
    </xdr:to>
    <xdr:sp macro="" textlink="$O$22">
      <xdr:nvSpPr>
        <xdr:cNvPr id="21" name="TextBox 20">
          <a:extLst>
            <a:ext uri="{FF2B5EF4-FFF2-40B4-BE49-F238E27FC236}">
              <a16:creationId xmlns:a16="http://schemas.microsoft.com/office/drawing/2014/main" id="{00000000-0008-0000-0400-000015000000}"/>
            </a:ext>
          </a:extLst>
        </xdr:cNvPr>
        <xdr:cNvSpPr txBox="1"/>
      </xdr:nvSpPr>
      <xdr:spPr>
        <a:xfrm>
          <a:off x="7761526" y="91979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E9980869-F07A-4340-922D-8F49CB9B8CC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8</xdr:col>
      <xdr:colOff>1410893</xdr:colOff>
      <xdr:row>23</xdr:row>
      <xdr:rowOff>247650</xdr:rowOff>
    </xdr:from>
    <xdr:to>
      <xdr:col>10</xdr:col>
      <xdr:colOff>819150</xdr:colOff>
      <xdr:row>24</xdr:row>
      <xdr:rowOff>261862</xdr:rowOff>
    </xdr:to>
    <xdr:sp macro="" textlink="$T$2">
      <xdr:nvSpPr>
        <xdr:cNvPr id="22" name="TextBox 21">
          <a:extLst>
            <a:ext uri="{FF2B5EF4-FFF2-40B4-BE49-F238E27FC236}">
              <a16:creationId xmlns:a16="http://schemas.microsoft.com/office/drawing/2014/main" id="{00000000-0008-0000-0400-000016000000}"/>
            </a:ext>
          </a:extLst>
        </xdr:cNvPr>
        <xdr:cNvSpPr txBox="1"/>
      </xdr:nvSpPr>
      <xdr:spPr>
        <a:xfrm>
          <a:off x="14669693" y="7410450"/>
          <a:ext cx="2722957" cy="319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8CF0D605-DCB7-4EC2-A5B5-A19250D08389}" type="TxLink">
            <a:rPr lang="en-US" sz="1600" b="0" i="0" u="none" strike="noStrike">
              <a:solidFill>
                <a:srgbClr val="000000"/>
              </a:solidFill>
              <a:latin typeface="Arial" panose="020B0604020202020204" pitchFamily="34" charset="0"/>
              <a:cs typeface="Arial" panose="020B0604020202020204" pitchFamily="34" charset="0"/>
            </a:rPr>
            <a:pPr algn="l"/>
            <a:t> </a:t>
          </a:fld>
          <a:endParaRPr lang="en-US" sz="1600" b="0">
            <a:latin typeface="Arial" pitchFamily="34" charset="0"/>
            <a:cs typeface="Arial" pitchFamily="34" charset="0"/>
          </a:endParaRPr>
        </a:p>
      </xdr:txBody>
    </xdr:sp>
    <xdr:clientData/>
  </xdr:twoCellAnchor>
  <xdr:twoCellAnchor>
    <xdr:from>
      <xdr:col>2</xdr:col>
      <xdr:colOff>466590</xdr:colOff>
      <xdr:row>3</xdr:row>
      <xdr:rowOff>95250</xdr:rowOff>
    </xdr:from>
    <xdr:to>
      <xdr:col>2</xdr:col>
      <xdr:colOff>1333500</xdr:colOff>
      <xdr:row>4</xdr:row>
      <xdr:rowOff>175101</xdr:rowOff>
    </xdr:to>
    <xdr:sp macro="" textlink="$P$2">
      <xdr:nvSpPr>
        <xdr:cNvPr id="25" name="TextBox 24">
          <a:extLst>
            <a:ext uri="{FF2B5EF4-FFF2-40B4-BE49-F238E27FC236}">
              <a16:creationId xmlns:a16="http://schemas.microsoft.com/office/drawing/2014/main" id="{00000000-0008-0000-0400-000019000000}"/>
            </a:ext>
          </a:extLst>
        </xdr:cNvPr>
        <xdr:cNvSpPr txBox="1"/>
      </xdr:nvSpPr>
      <xdr:spPr>
        <a:xfrm>
          <a:off x="3781290" y="1162050"/>
          <a:ext cx="866910" cy="384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39ABB281-18C4-4B63-B531-D67B0FEC993C}" type="TxLink">
            <a:rPr lang="en-US" sz="1400" b="0" i="0" u="none" strike="noStrike">
              <a:solidFill>
                <a:srgbClr val="000000"/>
              </a:solidFill>
              <a:latin typeface="Arial" panose="020B0604020202020204" pitchFamily="34" charset="0"/>
              <a:cs typeface="Arial" panose="020B0604020202020204" pitchFamily="34" charset="0"/>
            </a:rPr>
            <a:pPr algn="ctr"/>
            <a:t> -- </a:t>
          </a:fld>
          <a:endParaRPr lang="en-US" sz="1400" b="0">
            <a:latin typeface="Arial" pitchFamily="34" charset="0"/>
            <a:cs typeface="Arial" pitchFamily="34" charset="0"/>
          </a:endParaRPr>
        </a:p>
      </xdr:txBody>
    </xdr:sp>
    <xdr:clientData/>
  </xdr:twoCellAnchor>
  <xdr:twoCellAnchor>
    <xdr:from>
      <xdr:col>5</xdr:col>
      <xdr:colOff>0</xdr:colOff>
      <xdr:row>40</xdr:row>
      <xdr:rowOff>133350</xdr:rowOff>
    </xdr:from>
    <xdr:to>
      <xdr:col>6</xdr:col>
      <xdr:colOff>68024</xdr:colOff>
      <xdr:row>41</xdr:row>
      <xdr:rowOff>231842</xdr:rowOff>
    </xdr:to>
    <xdr:sp macro="" textlink="$Q$27">
      <xdr:nvSpPr>
        <xdr:cNvPr id="28" name="TextBox 27">
          <a:extLst>
            <a:ext uri="{FF2B5EF4-FFF2-40B4-BE49-F238E27FC236}">
              <a16:creationId xmlns:a16="http://schemas.microsoft.com/office/drawing/2014/main" id="{00000000-0008-0000-0400-00001C000000}"/>
            </a:ext>
          </a:extLst>
        </xdr:cNvPr>
        <xdr:cNvSpPr txBox="1"/>
      </xdr:nvSpPr>
      <xdr:spPr>
        <a:xfrm>
          <a:off x="8286750" y="12477750"/>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9B4740A9-E550-454E-BD30-304D196C5540}"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0</xdr:col>
      <xdr:colOff>114300</xdr:colOff>
      <xdr:row>42</xdr:row>
      <xdr:rowOff>171450</xdr:rowOff>
    </xdr:from>
    <xdr:to>
      <xdr:col>6</xdr:col>
      <xdr:colOff>228600</xdr:colOff>
      <xdr:row>46</xdr:row>
      <xdr:rowOff>19050</xdr:rowOff>
    </xdr:to>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114300" y="13125450"/>
          <a:ext cx="1005840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800" b="1">
              <a:latin typeface="Arial" pitchFamily="34" charset="0"/>
              <a:cs typeface="Arial" pitchFamily="34" charset="0"/>
            </a:rPr>
            <a:t>DO NOT USE  FOR CONSTRUCTION OR FABRICATION</a:t>
          </a:r>
        </a:p>
      </xdr:txBody>
    </xdr:sp>
    <xdr:clientData/>
  </xdr:twoCellAnchor>
  <xdr:twoCellAnchor>
    <xdr:from>
      <xdr:col>2</xdr:col>
      <xdr:colOff>95250</xdr:colOff>
      <xdr:row>38</xdr:row>
      <xdr:rowOff>247650</xdr:rowOff>
    </xdr:from>
    <xdr:to>
      <xdr:col>3</xdr:col>
      <xdr:colOff>163274</xdr:colOff>
      <xdr:row>40</xdr:row>
      <xdr:rowOff>41342</xdr:rowOff>
    </xdr:to>
    <xdr:sp macro="" textlink="$S$7">
      <xdr:nvSpPr>
        <xdr:cNvPr id="30" name="TextBox 29">
          <a:extLst>
            <a:ext uri="{FF2B5EF4-FFF2-40B4-BE49-F238E27FC236}">
              <a16:creationId xmlns:a16="http://schemas.microsoft.com/office/drawing/2014/main" id="{00000000-0008-0000-0400-00001E000000}"/>
            </a:ext>
          </a:extLst>
        </xdr:cNvPr>
        <xdr:cNvSpPr txBox="1"/>
      </xdr:nvSpPr>
      <xdr:spPr>
        <a:xfrm>
          <a:off x="3409950" y="11982450"/>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6BAC5B8-5ED6-4DC8-AD17-64B85157467E}"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0</xdr:col>
      <xdr:colOff>541576</xdr:colOff>
      <xdr:row>25</xdr:row>
      <xdr:rowOff>263458</xdr:rowOff>
    </xdr:from>
    <xdr:to>
      <xdr:col>1</xdr:col>
      <xdr:colOff>25954</xdr:colOff>
      <xdr:row>27</xdr:row>
      <xdr:rowOff>40537</xdr:rowOff>
    </xdr:to>
    <xdr:sp macro="" textlink="$P$26">
      <xdr:nvSpPr>
        <xdr:cNvPr id="27" name="TextBox 26">
          <a:extLst>
            <a:ext uri="{FF2B5EF4-FFF2-40B4-BE49-F238E27FC236}">
              <a16:creationId xmlns:a16="http://schemas.microsoft.com/office/drawing/2014/main" id="{00000000-0008-0000-0400-00001B000000}"/>
            </a:ext>
          </a:extLst>
        </xdr:cNvPr>
        <xdr:cNvSpPr txBox="1"/>
      </xdr:nvSpPr>
      <xdr:spPr>
        <a:xfrm>
          <a:off x="541576" y="803585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0DA98863-BFD4-47BA-BC24-626490757DEA}" type="TxLink">
            <a:rPr lang="en-US" sz="1400" b="0" i="0" u="none" strike="noStrike">
              <a:solidFill>
                <a:sysClr val="windowText" lastClr="000000"/>
              </a:solidFill>
              <a:latin typeface="Arial" panose="020B0604020202020204" pitchFamily="34" charset="0"/>
              <a:cs typeface="Arial" panose="020B0604020202020204" pitchFamily="34" charset="0"/>
            </a:rPr>
            <a:pPr algn="ctr"/>
            <a:t> </a:t>
          </a:fld>
          <a:endParaRPr lang="en-US" sz="1400" b="0">
            <a:solidFill>
              <a:sysClr val="windowText" lastClr="000000"/>
            </a:solidFill>
            <a:latin typeface="Arial" pitchFamily="34" charset="0"/>
            <a:cs typeface="Arial" pitchFamily="34" charset="0"/>
          </a:endParaRPr>
        </a:p>
      </xdr:txBody>
    </xdr:sp>
    <xdr:clientData/>
  </xdr:twoCellAnchor>
  <xdr:twoCellAnchor>
    <xdr:from>
      <xdr:col>0</xdr:col>
      <xdr:colOff>998776</xdr:colOff>
      <xdr:row>27</xdr:row>
      <xdr:rowOff>53908</xdr:rowOff>
    </xdr:from>
    <xdr:to>
      <xdr:col>1</xdr:col>
      <xdr:colOff>483154</xdr:colOff>
      <xdr:row>28</xdr:row>
      <xdr:rowOff>135787</xdr:rowOff>
    </xdr:to>
    <xdr:sp macro="" textlink="$P$27">
      <xdr:nvSpPr>
        <xdr:cNvPr id="31" name="TextBox 30">
          <a:extLst>
            <a:ext uri="{FF2B5EF4-FFF2-40B4-BE49-F238E27FC236}">
              <a16:creationId xmlns:a16="http://schemas.microsoft.com/office/drawing/2014/main" id="{00000000-0008-0000-0400-00001F000000}"/>
            </a:ext>
          </a:extLst>
        </xdr:cNvPr>
        <xdr:cNvSpPr txBox="1"/>
      </xdr:nvSpPr>
      <xdr:spPr>
        <a:xfrm>
          <a:off x="998776" y="84359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A906E9E-978A-4A36-8435-8FF6FDC3C354}" type="TxLink">
            <a:rPr lang="en-US" sz="1400" b="0" i="0" u="none" strike="noStrike">
              <a:solidFill>
                <a:sysClr val="windowText" lastClr="000000"/>
              </a:solidFill>
              <a:latin typeface="Arial" panose="020B0604020202020204" pitchFamily="34" charset="0"/>
              <a:cs typeface="Arial" panose="020B0604020202020204" pitchFamily="34" charset="0"/>
            </a:rPr>
            <a:pPr algn="ctr"/>
            <a:t> </a:t>
          </a:fld>
          <a:endParaRPr lang="en-US" sz="1400" b="0">
            <a:solidFill>
              <a:sysClr val="windowText" lastClr="000000"/>
            </a:solidFill>
            <a:latin typeface="Arial" pitchFamily="34" charset="0"/>
            <a:cs typeface="Arial" pitchFamily="34" charset="0"/>
          </a:endParaRPr>
        </a:p>
      </xdr:txBody>
    </xdr:sp>
    <xdr:clientData/>
  </xdr:twoCellAnchor>
  <xdr:twoCellAnchor>
    <xdr:from>
      <xdr:col>0</xdr:col>
      <xdr:colOff>590550</xdr:colOff>
      <xdr:row>0</xdr:row>
      <xdr:rowOff>133350</xdr:rowOff>
    </xdr:from>
    <xdr:to>
      <xdr:col>8</xdr:col>
      <xdr:colOff>1447800</xdr:colOff>
      <xdr:row>4</xdr:row>
      <xdr:rowOff>38100</xdr:rowOff>
    </xdr:to>
    <xdr:sp macro="" textlink="N28">
      <xdr:nvSpPr>
        <xdr:cNvPr id="32" name="TextBox 31">
          <a:extLst>
            <a:ext uri="{FF2B5EF4-FFF2-40B4-BE49-F238E27FC236}">
              <a16:creationId xmlns:a16="http://schemas.microsoft.com/office/drawing/2014/main" id="{00000000-0008-0000-0400-000020000000}"/>
            </a:ext>
          </a:extLst>
        </xdr:cNvPr>
        <xdr:cNvSpPr txBox="1"/>
      </xdr:nvSpPr>
      <xdr:spPr>
        <a:xfrm>
          <a:off x="590550" y="133350"/>
          <a:ext cx="14116050"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752FEC44-4991-4FBE-A413-219032EBB146}" type="TxLink">
            <a:rPr lang="en-US" sz="2400" b="0" i="0" u="none" strike="noStrike">
              <a:solidFill>
                <a:srgbClr val="FF0000"/>
              </a:solidFill>
              <a:latin typeface="Arial" panose="020B0604020202020204" pitchFamily="34" charset="0"/>
              <a:cs typeface="Arial" panose="020B0604020202020204" pitchFamily="34" charset="0"/>
            </a:rPr>
            <a:pPr algn="l"/>
            <a:t>Hydro International Does Not Recommend Use of This Drawing for the Design Parameters Entered. Use DWG 1-6 Modules (Online) on Tab 3a.</a:t>
          </a:fld>
          <a:endParaRPr lang="en-US" sz="2400" b="1">
            <a:solidFill>
              <a:srgbClr val="FF0000"/>
            </a:solidFill>
            <a:latin typeface="Arial" pitchFamily="34" charset="0"/>
            <a:cs typeface="Arial" pitchFamily="34" charset="0"/>
          </a:endParaRPr>
        </a:p>
      </xdr:txBody>
    </xdr:sp>
    <xdr:clientData/>
  </xdr:twoCellAnchor>
  <xdr:twoCellAnchor>
    <xdr:from>
      <xdr:col>7</xdr:col>
      <xdr:colOff>1549716</xdr:colOff>
      <xdr:row>25</xdr:row>
      <xdr:rowOff>159600</xdr:rowOff>
    </xdr:from>
    <xdr:to>
      <xdr:col>8</xdr:col>
      <xdr:colOff>969788</xdr:colOff>
      <xdr:row>26</xdr:row>
      <xdr:rowOff>174087</xdr:rowOff>
    </xdr:to>
    <xdr:sp macro="" textlink="$O$29">
      <xdr:nvSpPr>
        <xdr:cNvPr id="33" name="TextBox 32">
          <a:extLst>
            <a:ext uri="{FF2B5EF4-FFF2-40B4-BE49-F238E27FC236}">
              <a16:creationId xmlns:a16="http://schemas.microsoft.com/office/drawing/2014/main" id="{00000000-0008-0000-0400-000021000000}"/>
            </a:ext>
          </a:extLst>
        </xdr:cNvPr>
        <xdr:cNvSpPr txBox="1"/>
      </xdr:nvSpPr>
      <xdr:spPr>
        <a:xfrm>
          <a:off x="13151166" y="7932000"/>
          <a:ext cx="1077422"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CD512A7C-4D45-47E5-A76D-30C738794767}" type="TxLink">
            <a:rPr lang="en-US" sz="1400" b="0" i="0" u="none" strike="noStrike">
              <a:solidFill>
                <a:srgbClr val="000000"/>
              </a:solidFill>
              <a:latin typeface="Arial" panose="020B0604020202020204" pitchFamily="34" charset="0"/>
              <a:cs typeface="Arial" panose="020B0604020202020204" pitchFamily="34" charset="0"/>
            </a:rPr>
            <a:pPr algn="r"/>
            <a:t> -- </a:t>
          </a:fld>
          <a:endParaRPr lang="en-US" sz="1400" b="0">
            <a:solidFill>
              <a:srgbClr val="FF000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228602</xdr:colOff>
      <xdr:row>0</xdr:row>
      <xdr:rowOff>190499</xdr:rowOff>
    </xdr:from>
    <xdr:to>
      <xdr:col>10</xdr:col>
      <xdr:colOff>1512193</xdr:colOff>
      <xdr:row>47</xdr:row>
      <xdr:rowOff>57149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2118173" y="-1699072"/>
          <a:ext cx="14077950" cy="17857091"/>
        </a:xfrm>
        <a:prstGeom prst="rect">
          <a:avLst/>
        </a:prstGeom>
        <a:ln>
          <a:noFill/>
        </a:ln>
      </xdr:spPr>
    </xdr:pic>
    <xdr:clientData/>
  </xdr:twoCellAnchor>
  <xdr:twoCellAnchor>
    <xdr:from>
      <xdr:col>7</xdr:col>
      <xdr:colOff>934643</xdr:colOff>
      <xdr:row>5</xdr:row>
      <xdr:rowOff>80777</xdr:rowOff>
    </xdr:from>
    <xdr:to>
      <xdr:col>8</xdr:col>
      <xdr:colOff>690168</xdr:colOff>
      <xdr:row>6</xdr:row>
      <xdr:rowOff>132880</xdr:rowOff>
    </xdr:to>
    <xdr:sp macro="" textlink="$R$2">
      <xdr:nvSpPr>
        <xdr:cNvPr id="3" name="TextBox 2">
          <a:extLst>
            <a:ext uri="{FF2B5EF4-FFF2-40B4-BE49-F238E27FC236}">
              <a16:creationId xmlns:a16="http://schemas.microsoft.com/office/drawing/2014/main" id="{00000000-0008-0000-0500-000003000000}"/>
            </a:ext>
          </a:extLst>
        </xdr:cNvPr>
        <xdr:cNvSpPr txBox="1"/>
      </xdr:nvSpPr>
      <xdr:spPr>
        <a:xfrm>
          <a:off x="12536093" y="1604777"/>
          <a:ext cx="1412875" cy="356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2C5991A-E921-4EB5-9C3F-B41EC6187921}" type="TxLink">
            <a:rPr lang="en-US" sz="1400" b="1" i="0" u="none" strike="noStrike">
              <a:solidFill>
                <a:srgbClr val="000000"/>
              </a:solidFill>
              <a:latin typeface="Arial" pitchFamily="34" charset="0"/>
              <a:cs typeface="Arial" pitchFamily="34" charset="0"/>
            </a:rPr>
            <a:pPr algn="r"/>
            <a:t> </a:t>
          </a:fld>
          <a:endParaRPr lang="en-US" sz="1400" b="1">
            <a:latin typeface="Arial" pitchFamily="34" charset="0"/>
            <a:cs typeface="Arial" pitchFamily="34" charset="0"/>
          </a:endParaRPr>
        </a:p>
      </xdr:txBody>
    </xdr:sp>
    <xdr:clientData/>
  </xdr:twoCellAnchor>
  <xdr:twoCellAnchor>
    <xdr:from>
      <xdr:col>7</xdr:col>
      <xdr:colOff>1227702</xdr:colOff>
      <xdr:row>6</xdr:row>
      <xdr:rowOff>120039</xdr:rowOff>
    </xdr:from>
    <xdr:to>
      <xdr:col>8</xdr:col>
      <xdr:colOff>686511</xdr:colOff>
      <xdr:row>7</xdr:row>
      <xdr:rowOff>169798</xdr:rowOff>
    </xdr:to>
    <xdr:sp macro="" textlink="$P$18">
      <xdr:nvSpPr>
        <xdr:cNvPr id="4" name="TextBox 3">
          <a:extLst>
            <a:ext uri="{FF2B5EF4-FFF2-40B4-BE49-F238E27FC236}">
              <a16:creationId xmlns:a16="http://schemas.microsoft.com/office/drawing/2014/main" id="{00000000-0008-0000-0500-000004000000}"/>
            </a:ext>
          </a:extLst>
        </xdr:cNvPr>
        <xdr:cNvSpPr txBox="1"/>
      </xdr:nvSpPr>
      <xdr:spPr>
        <a:xfrm>
          <a:off x="12829152" y="1948839"/>
          <a:ext cx="1116159" cy="35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4BEB4FE9-F372-4D15-A2B5-B552C7591B1A}" type="TxLink">
            <a:rPr lang="en-US" sz="1400" b="1" i="0" u="none" strike="noStrike">
              <a:solidFill>
                <a:srgbClr val="000000"/>
              </a:solidFill>
              <a:latin typeface="Arial" panose="020B0604020202020204" pitchFamily="34" charset="0"/>
              <a:cs typeface="Arial" panose="020B0604020202020204" pitchFamily="34" charset="0"/>
            </a:rPr>
            <a:pPr algn="r"/>
            <a:t> </a:t>
          </a:fld>
          <a:endParaRPr lang="en-US" sz="1400" b="1">
            <a:latin typeface="Arial" pitchFamily="34" charset="0"/>
            <a:cs typeface="Arial" pitchFamily="34" charset="0"/>
          </a:endParaRPr>
        </a:p>
      </xdr:txBody>
    </xdr:sp>
    <xdr:clientData/>
  </xdr:twoCellAnchor>
  <xdr:twoCellAnchor>
    <xdr:from>
      <xdr:col>7</xdr:col>
      <xdr:colOff>934468</xdr:colOff>
      <xdr:row>7</xdr:row>
      <xdr:rowOff>223512</xdr:rowOff>
    </xdr:from>
    <xdr:to>
      <xdr:col>8</xdr:col>
      <xdr:colOff>679983</xdr:colOff>
      <xdr:row>8</xdr:row>
      <xdr:rowOff>273272</xdr:rowOff>
    </xdr:to>
    <xdr:sp macro="" textlink="$P$7">
      <xdr:nvSpPr>
        <xdr:cNvPr id="5" name="TextBox 4">
          <a:extLst>
            <a:ext uri="{FF2B5EF4-FFF2-40B4-BE49-F238E27FC236}">
              <a16:creationId xmlns:a16="http://schemas.microsoft.com/office/drawing/2014/main" id="{00000000-0008-0000-0500-000005000000}"/>
            </a:ext>
          </a:extLst>
        </xdr:cNvPr>
        <xdr:cNvSpPr txBox="1"/>
      </xdr:nvSpPr>
      <xdr:spPr>
        <a:xfrm>
          <a:off x="12535918" y="2357112"/>
          <a:ext cx="1402865" cy="35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96C5EDC-4E90-4C4D-82F6-5BE0883DDB9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922049</xdr:colOff>
      <xdr:row>9</xdr:row>
      <xdr:rowOff>11166</xdr:rowOff>
    </xdr:from>
    <xdr:to>
      <xdr:col>8</xdr:col>
      <xdr:colOff>677574</xdr:colOff>
      <xdr:row>10</xdr:row>
      <xdr:rowOff>60925</xdr:rowOff>
    </xdr:to>
    <xdr:sp macro="" textlink="$P$8">
      <xdr:nvSpPr>
        <xdr:cNvPr id="6" name="TextBox 5">
          <a:extLst>
            <a:ext uri="{FF2B5EF4-FFF2-40B4-BE49-F238E27FC236}">
              <a16:creationId xmlns:a16="http://schemas.microsoft.com/office/drawing/2014/main" id="{00000000-0008-0000-0500-000006000000}"/>
            </a:ext>
          </a:extLst>
        </xdr:cNvPr>
        <xdr:cNvSpPr txBox="1"/>
      </xdr:nvSpPr>
      <xdr:spPr>
        <a:xfrm>
          <a:off x="12523499" y="2754366"/>
          <a:ext cx="1412875" cy="35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68C75C31-1BEE-448E-A90C-52DE92549629}"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999238</xdr:colOff>
      <xdr:row>14</xdr:row>
      <xdr:rowOff>72711</xdr:rowOff>
    </xdr:from>
    <xdr:to>
      <xdr:col>8</xdr:col>
      <xdr:colOff>687255</xdr:colOff>
      <xdr:row>15</xdr:row>
      <xdr:rowOff>122471</xdr:rowOff>
    </xdr:to>
    <xdr:sp macro="" textlink="$P$14">
      <xdr:nvSpPr>
        <xdr:cNvPr id="7" name="TextBox 6">
          <a:extLst>
            <a:ext uri="{FF2B5EF4-FFF2-40B4-BE49-F238E27FC236}">
              <a16:creationId xmlns:a16="http://schemas.microsoft.com/office/drawing/2014/main" id="{00000000-0008-0000-0500-000007000000}"/>
            </a:ext>
          </a:extLst>
        </xdr:cNvPr>
        <xdr:cNvSpPr txBox="1"/>
      </xdr:nvSpPr>
      <xdr:spPr>
        <a:xfrm>
          <a:off x="12600688" y="4339911"/>
          <a:ext cx="1345367" cy="35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AC041C19-2205-41DC-A8AF-C7AF40353B10}"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7</xdr:col>
      <xdr:colOff>923080</xdr:colOff>
      <xdr:row>11</xdr:row>
      <xdr:rowOff>196945</xdr:rowOff>
    </xdr:from>
    <xdr:to>
      <xdr:col>8</xdr:col>
      <xdr:colOff>678605</xdr:colOff>
      <xdr:row>12</xdr:row>
      <xdr:rowOff>248457</xdr:rowOff>
    </xdr:to>
    <xdr:sp macro="" textlink="$P$10">
      <xdr:nvSpPr>
        <xdr:cNvPr id="8" name="TextBox 7">
          <a:extLst>
            <a:ext uri="{FF2B5EF4-FFF2-40B4-BE49-F238E27FC236}">
              <a16:creationId xmlns:a16="http://schemas.microsoft.com/office/drawing/2014/main" id="{00000000-0008-0000-0500-000008000000}"/>
            </a:ext>
          </a:extLst>
        </xdr:cNvPr>
        <xdr:cNvSpPr txBox="1"/>
      </xdr:nvSpPr>
      <xdr:spPr>
        <a:xfrm>
          <a:off x="12524530" y="3549745"/>
          <a:ext cx="1412875" cy="356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928F92A-7701-45AD-B328-8E1562278BA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922296</xdr:colOff>
      <xdr:row>12</xdr:row>
      <xdr:rowOff>287163</xdr:rowOff>
    </xdr:from>
    <xdr:to>
      <xdr:col>8</xdr:col>
      <xdr:colOff>687346</xdr:colOff>
      <xdr:row>14</xdr:row>
      <xdr:rowOff>32123</xdr:rowOff>
    </xdr:to>
    <xdr:sp macro="" textlink="$P$11">
      <xdr:nvSpPr>
        <xdr:cNvPr id="9" name="TextBox 8">
          <a:extLst>
            <a:ext uri="{FF2B5EF4-FFF2-40B4-BE49-F238E27FC236}">
              <a16:creationId xmlns:a16="http://schemas.microsoft.com/office/drawing/2014/main" id="{00000000-0008-0000-0500-000009000000}"/>
            </a:ext>
          </a:extLst>
        </xdr:cNvPr>
        <xdr:cNvSpPr txBox="1"/>
      </xdr:nvSpPr>
      <xdr:spPr>
        <a:xfrm>
          <a:off x="12523746" y="3944763"/>
          <a:ext cx="1422400" cy="35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B23A8DE-BFA4-49F6-9E84-2E8AA061E33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9</xdr:col>
      <xdr:colOff>177960</xdr:colOff>
      <xdr:row>2</xdr:row>
      <xdr:rowOff>38099</xdr:rowOff>
    </xdr:from>
    <xdr:to>
      <xdr:col>10</xdr:col>
      <xdr:colOff>1371600</xdr:colOff>
      <xdr:row>5</xdr:row>
      <xdr:rowOff>103073</xdr:rowOff>
    </xdr:to>
    <xdr:sp macro="" textlink="$N$15">
      <xdr:nvSpPr>
        <xdr:cNvPr id="10" name="TextBox 9">
          <a:extLst>
            <a:ext uri="{FF2B5EF4-FFF2-40B4-BE49-F238E27FC236}">
              <a16:creationId xmlns:a16="http://schemas.microsoft.com/office/drawing/2014/main" id="{00000000-0008-0000-0500-00000A000000}"/>
            </a:ext>
          </a:extLst>
        </xdr:cNvPr>
        <xdr:cNvSpPr txBox="1"/>
      </xdr:nvSpPr>
      <xdr:spPr>
        <a:xfrm>
          <a:off x="15094110" y="647699"/>
          <a:ext cx="2850990" cy="979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D6DD86-B9C9-4F3C-B9C1-38C8DB51BC58}"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9</xdr:col>
      <xdr:colOff>174587</xdr:colOff>
      <xdr:row>5</xdr:row>
      <xdr:rowOff>73601</xdr:rowOff>
    </xdr:from>
    <xdr:to>
      <xdr:col>10</xdr:col>
      <xdr:colOff>1339821</xdr:colOff>
      <xdr:row>9</xdr:row>
      <xdr:rowOff>194780</xdr:rowOff>
    </xdr:to>
    <xdr:sp macro="" textlink="$N$16">
      <xdr:nvSpPr>
        <xdr:cNvPr id="11" name="TextBox 10">
          <a:extLst>
            <a:ext uri="{FF2B5EF4-FFF2-40B4-BE49-F238E27FC236}">
              <a16:creationId xmlns:a16="http://schemas.microsoft.com/office/drawing/2014/main" id="{00000000-0008-0000-0500-00000B000000}"/>
            </a:ext>
          </a:extLst>
        </xdr:cNvPr>
        <xdr:cNvSpPr txBox="1"/>
      </xdr:nvSpPr>
      <xdr:spPr>
        <a:xfrm>
          <a:off x="15090737" y="1597601"/>
          <a:ext cx="2822584" cy="13403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47376E3-0918-4492-AA43-D0CFE27E0F9B}" type="TxLink">
            <a:rPr lang="en-US" sz="1200" b="1" i="0" u="none" strike="noStrike">
              <a:solidFill>
                <a:srgbClr val="000000"/>
              </a:solidFill>
              <a:latin typeface="Arial" pitchFamily="34" charset="0"/>
              <a:cs typeface="Arial" pitchFamily="34" charset="0"/>
            </a:rPr>
            <a:pPr/>
            <a:t>2.  REFER TO SUBMITTAL OR FABRICATION DRAWINGS FOR FINAL RIM AND INVERT ELEVATIONS.</a:t>
          </a:fld>
          <a:endParaRPr lang="en-US" sz="1200" b="1">
            <a:latin typeface="Arial" pitchFamily="34" charset="0"/>
            <a:cs typeface="Arial" pitchFamily="34" charset="0"/>
          </a:endParaRPr>
        </a:p>
      </xdr:txBody>
    </xdr:sp>
    <xdr:clientData/>
  </xdr:twoCellAnchor>
  <xdr:twoCellAnchor>
    <xdr:from>
      <xdr:col>9</xdr:col>
      <xdr:colOff>176199</xdr:colOff>
      <xdr:row>7</xdr:row>
      <xdr:rowOff>242067</xdr:rowOff>
    </xdr:from>
    <xdr:to>
      <xdr:col>10</xdr:col>
      <xdr:colOff>1230308</xdr:colOff>
      <xdr:row>10</xdr:row>
      <xdr:rowOff>177786</xdr:rowOff>
    </xdr:to>
    <xdr:sp macro="" textlink="$N$17">
      <xdr:nvSpPr>
        <xdr:cNvPr id="12" name="TextBox 11">
          <a:extLst>
            <a:ext uri="{FF2B5EF4-FFF2-40B4-BE49-F238E27FC236}">
              <a16:creationId xmlns:a16="http://schemas.microsoft.com/office/drawing/2014/main" id="{00000000-0008-0000-0500-00000C000000}"/>
            </a:ext>
          </a:extLst>
        </xdr:cNvPr>
        <xdr:cNvSpPr txBox="1"/>
      </xdr:nvSpPr>
      <xdr:spPr>
        <a:xfrm>
          <a:off x="15092349" y="2375667"/>
          <a:ext cx="2711459" cy="8501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0253505-454D-45B4-84EE-18A2EBC0EC68}" type="TxLink">
            <a:rPr lang="en-US" sz="1200" b="1" i="0" u="none" strike="noStrike">
              <a:solidFill>
                <a:srgbClr val="000000"/>
              </a:solidFill>
              <a:latin typeface="Arial" pitchFamily="34" charset="0"/>
              <a:cs typeface="Arial"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9</xdr:col>
      <xdr:colOff>158344</xdr:colOff>
      <xdr:row>24</xdr:row>
      <xdr:rowOff>266700</xdr:rowOff>
    </xdr:from>
    <xdr:to>
      <xdr:col>10</xdr:col>
      <xdr:colOff>1371600</xdr:colOff>
      <xdr:row>27</xdr:row>
      <xdr:rowOff>123740</xdr:rowOff>
    </xdr:to>
    <xdr:sp macro="" textlink="'2-Sizing'!$D$11:$E$11">
      <xdr:nvSpPr>
        <xdr:cNvPr id="13" name="TextBox 12">
          <a:extLst>
            <a:ext uri="{FF2B5EF4-FFF2-40B4-BE49-F238E27FC236}">
              <a16:creationId xmlns:a16="http://schemas.microsoft.com/office/drawing/2014/main" id="{00000000-0008-0000-0500-00000D000000}"/>
            </a:ext>
          </a:extLst>
        </xdr:cNvPr>
        <xdr:cNvSpPr txBox="1"/>
      </xdr:nvSpPr>
      <xdr:spPr>
        <a:xfrm>
          <a:off x="15074494" y="7581900"/>
          <a:ext cx="2870606" cy="77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3B3309-7C09-4E98-83DC-084CDFE7C20F}"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9</xdr:col>
      <xdr:colOff>159978</xdr:colOff>
      <xdr:row>27</xdr:row>
      <xdr:rowOff>95250</xdr:rowOff>
    </xdr:from>
    <xdr:to>
      <xdr:col>10</xdr:col>
      <xdr:colOff>1371599</xdr:colOff>
      <xdr:row>29</xdr:row>
      <xdr:rowOff>276376</xdr:rowOff>
    </xdr:to>
    <xdr:sp macro="" textlink="'2-Sizing'!D12:E12">
      <xdr:nvSpPr>
        <xdr:cNvPr id="14" name="TextBox 13">
          <a:extLst>
            <a:ext uri="{FF2B5EF4-FFF2-40B4-BE49-F238E27FC236}">
              <a16:creationId xmlns:a16="http://schemas.microsoft.com/office/drawing/2014/main" id="{00000000-0008-0000-0500-00000E000000}"/>
            </a:ext>
          </a:extLst>
        </xdr:cNvPr>
        <xdr:cNvSpPr txBox="1"/>
      </xdr:nvSpPr>
      <xdr:spPr>
        <a:xfrm>
          <a:off x="15076128" y="8324850"/>
          <a:ext cx="2868971" cy="790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BAA6FE-849C-4A93-8711-407928577E2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7</xdr:col>
      <xdr:colOff>1508899</xdr:colOff>
      <xdr:row>22</xdr:row>
      <xdr:rowOff>100465</xdr:rowOff>
    </xdr:from>
    <xdr:to>
      <xdr:col>8</xdr:col>
      <xdr:colOff>1018140</xdr:colOff>
      <xdr:row>23</xdr:row>
      <xdr:rowOff>118908</xdr:rowOff>
    </xdr:to>
    <xdr:sp macro="" textlink="$O$19">
      <xdr:nvSpPr>
        <xdr:cNvPr id="15" name="TextBox 14">
          <a:extLst>
            <a:ext uri="{FF2B5EF4-FFF2-40B4-BE49-F238E27FC236}">
              <a16:creationId xmlns:a16="http://schemas.microsoft.com/office/drawing/2014/main" id="{00000000-0008-0000-0500-00000F000000}"/>
            </a:ext>
          </a:extLst>
        </xdr:cNvPr>
        <xdr:cNvSpPr txBox="1"/>
      </xdr:nvSpPr>
      <xdr:spPr>
        <a:xfrm>
          <a:off x="13110349" y="6806065"/>
          <a:ext cx="1166591" cy="323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E23C439-9C17-4F20-9A6A-9C04D563DB9D}"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8</xdr:col>
      <xdr:colOff>371340</xdr:colOff>
      <xdr:row>30</xdr:row>
      <xdr:rowOff>4442</xdr:rowOff>
    </xdr:from>
    <xdr:to>
      <xdr:col>8</xdr:col>
      <xdr:colOff>1464254</xdr:colOff>
      <xdr:row>31</xdr:row>
      <xdr:rowOff>65275</xdr:rowOff>
    </xdr:to>
    <xdr:sp macro="" textlink="$O$20">
      <xdr:nvSpPr>
        <xdr:cNvPr id="16" name="TextBox 15">
          <a:extLst>
            <a:ext uri="{FF2B5EF4-FFF2-40B4-BE49-F238E27FC236}">
              <a16:creationId xmlns:a16="http://schemas.microsoft.com/office/drawing/2014/main" id="{00000000-0008-0000-0500-000010000000}"/>
            </a:ext>
          </a:extLst>
        </xdr:cNvPr>
        <xdr:cNvSpPr txBox="1"/>
      </xdr:nvSpPr>
      <xdr:spPr>
        <a:xfrm>
          <a:off x="13630140" y="9148442"/>
          <a:ext cx="1092914" cy="36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5</xdr:col>
      <xdr:colOff>120966</xdr:colOff>
      <xdr:row>29</xdr:row>
      <xdr:rowOff>64350</xdr:rowOff>
    </xdr:from>
    <xdr:to>
      <xdr:col>5</xdr:col>
      <xdr:colOff>1198388</xdr:colOff>
      <xdr:row>30</xdr:row>
      <xdr:rowOff>82793</xdr:rowOff>
    </xdr:to>
    <xdr:sp macro="" textlink="$O$21">
      <xdr:nvSpPr>
        <xdr:cNvPr id="17" name="TextBox 16">
          <a:extLst>
            <a:ext uri="{FF2B5EF4-FFF2-40B4-BE49-F238E27FC236}">
              <a16:creationId xmlns:a16="http://schemas.microsoft.com/office/drawing/2014/main" id="{00000000-0008-0000-0500-000011000000}"/>
            </a:ext>
          </a:extLst>
        </xdr:cNvPr>
        <xdr:cNvSpPr txBox="1"/>
      </xdr:nvSpPr>
      <xdr:spPr>
        <a:xfrm>
          <a:off x="8407716" y="8903550"/>
          <a:ext cx="1077422" cy="323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B76BA5-1524-4920-93B6-2CFFA975DF6F}" type="TxLink">
            <a:rPr lang="en-US" sz="1400" b="0" i="0" u="none" strike="noStrike">
              <a:solidFill>
                <a:sysClr val="windowText" lastClr="000000"/>
              </a:solidFill>
              <a:latin typeface="Arial" pitchFamily="34" charset="0"/>
              <a:cs typeface="Arial" pitchFamily="34" charset="0"/>
            </a:rPr>
            <a:pPr algn="r"/>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7</xdr:col>
      <xdr:colOff>923080</xdr:colOff>
      <xdr:row>10</xdr:row>
      <xdr:rowOff>101695</xdr:rowOff>
    </xdr:from>
    <xdr:to>
      <xdr:col>8</xdr:col>
      <xdr:colOff>678605</xdr:colOff>
      <xdr:row>11</xdr:row>
      <xdr:rowOff>153207</xdr:rowOff>
    </xdr:to>
    <xdr:sp macro="" textlink="$P$4">
      <xdr:nvSpPr>
        <xdr:cNvPr id="18" name="TextBox 17">
          <a:extLst>
            <a:ext uri="{FF2B5EF4-FFF2-40B4-BE49-F238E27FC236}">
              <a16:creationId xmlns:a16="http://schemas.microsoft.com/office/drawing/2014/main" id="{00000000-0008-0000-0500-000012000000}"/>
            </a:ext>
          </a:extLst>
        </xdr:cNvPr>
        <xdr:cNvSpPr txBox="1"/>
      </xdr:nvSpPr>
      <xdr:spPr>
        <a:xfrm>
          <a:off x="12524530" y="3149695"/>
          <a:ext cx="1412875" cy="356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85A43732-30A9-4F12-9B8A-F3C0C178BCA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5</xdr:col>
      <xdr:colOff>427276</xdr:colOff>
      <xdr:row>25</xdr:row>
      <xdr:rowOff>187258</xdr:rowOff>
    </xdr:from>
    <xdr:to>
      <xdr:col>5</xdr:col>
      <xdr:colOff>1569004</xdr:colOff>
      <xdr:row>26</xdr:row>
      <xdr:rowOff>273928</xdr:rowOff>
    </xdr:to>
    <xdr:sp macro="" textlink="$Q$25">
      <xdr:nvSpPr>
        <xdr:cNvPr id="19" name="TextBox 18">
          <a:extLst>
            <a:ext uri="{FF2B5EF4-FFF2-40B4-BE49-F238E27FC236}">
              <a16:creationId xmlns:a16="http://schemas.microsoft.com/office/drawing/2014/main" id="{00000000-0008-0000-0500-000013000000}"/>
            </a:ext>
          </a:extLst>
        </xdr:cNvPr>
        <xdr:cNvSpPr txBox="1"/>
      </xdr:nvSpPr>
      <xdr:spPr>
        <a:xfrm>
          <a:off x="8714026" y="7807258"/>
          <a:ext cx="1141728" cy="39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114D95C-8474-479B-BABF-F9DDA499D1E2}" type="TxLink">
            <a:rPr lang="en-US" sz="1400" b="0" i="0" u="none" strike="noStrike">
              <a:solidFill>
                <a:srgbClr val="000000"/>
              </a:solidFill>
              <a:latin typeface="Arial" panose="020B0604020202020204" pitchFamily="34" charset="0"/>
              <a:cs typeface="Arial" panose="020B0604020202020204" pitchFamily="34" charset="0"/>
            </a:rPr>
            <a:pPr algn="l"/>
            <a:t> -- </a:t>
          </a:fld>
          <a:endParaRPr lang="en-US" sz="1400" b="0">
            <a:latin typeface="Arial" pitchFamily="34" charset="0"/>
            <a:cs typeface="Arial" pitchFamily="34" charset="0"/>
          </a:endParaRPr>
        </a:p>
      </xdr:txBody>
    </xdr:sp>
    <xdr:clientData/>
  </xdr:twoCellAnchor>
  <xdr:twoCellAnchor>
    <xdr:from>
      <xdr:col>7</xdr:col>
      <xdr:colOff>103426</xdr:colOff>
      <xdr:row>20</xdr:row>
      <xdr:rowOff>53908</xdr:rowOff>
    </xdr:from>
    <xdr:to>
      <xdr:col>7</xdr:col>
      <xdr:colOff>1245154</xdr:colOff>
      <xdr:row>21</xdr:row>
      <xdr:rowOff>140578</xdr:rowOff>
    </xdr:to>
    <xdr:sp macro="" textlink="$O$25">
      <xdr:nvSpPr>
        <xdr:cNvPr id="20" name="TextBox 19">
          <a:extLst>
            <a:ext uri="{FF2B5EF4-FFF2-40B4-BE49-F238E27FC236}">
              <a16:creationId xmlns:a16="http://schemas.microsoft.com/office/drawing/2014/main" id="{00000000-0008-0000-0500-000014000000}"/>
            </a:ext>
          </a:extLst>
        </xdr:cNvPr>
        <xdr:cNvSpPr txBox="1"/>
      </xdr:nvSpPr>
      <xdr:spPr>
        <a:xfrm>
          <a:off x="11704876" y="6149908"/>
          <a:ext cx="1141728" cy="39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3552A54-E138-4061-B2D5-E6F8B4E12B9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5</xdr:col>
      <xdr:colOff>484426</xdr:colOff>
      <xdr:row>30</xdr:row>
      <xdr:rowOff>301558</xdr:rowOff>
    </xdr:from>
    <xdr:to>
      <xdr:col>5</xdr:col>
      <xdr:colOff>1626154</xdr:colOff>
      <xdr:row>32</xdr:row>
      <xdr:rowOff>83428</xdr:rowOff>
    </xdr:to>
    <xdr:sp macro="" textlink="$O$22">
      <xdr:nvSpPr>
        <xdr:cNvPr id="21" name="TextBox 20">
          <a:extLst>
            <a:ext uri="{FF2B5EF4-FFF2-40B4-BE49-F238E27FC236}">
              <a16:creationId xmlns:a16="http://schemas.microsoft.com/office/drawing/2014/main" id="{00000000-0008-0000-0500-000015000000}"/>
            </a:ext>
          </a:extLst>
        </xdr:cNvPr>
        <xdr:cNvSpPr txBox="1"/>
      </xdr:nvSpPr>
      <xdr:spPr>
        <a:xfrm>
          <a:off x="8771176" y="9445558"/>
          <a:ext cx="1141728" cy="39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E9980869-F07A-4340-922D-8F49CB9B8CC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9</xdr:col>
      <xdr:colOff>153593</xdr:colOff>
      <xdr:row>23</xdr:row>
      <xdr:rowOff>266700</xdr:rowOff>
    </xdr:from>
    <xdr:to>
      <xdr:col>10</xdr:col>
      <xdr:colOff>1219200</xdr:colOff>
      <xdr:row>24</xdr:row>
      <xdr:rowOff>284864</xdr:rowOff>
    </xdr:to>
    <xdr:sp macro="" textlink="$T$2">
      <xdr:nvSpPr>
        <xdr:cNvPr id="22" name="TextBox 21">
          <a:extLst>
            <a:ext uri="{FF2B5EF4-FFF2-40B4-BE49-F238E27FC236}">
              <a16:creationId xmlns:a16="http://schemas.microsoft.com/office/drawing/2014/main" id="{00000000-0008-0000-0500-000016000000}"/>
            </a:ext>
          </a:extLst>
        </xdr:cNvPr>
        <xdr:cNvSpPr txBox="1"/>
      </xdr:nvSpPr>
      <xdr:spPr>
        <a:xfrm>
          <a:off x="15069743" y="7277100"/>
          <a:ext cx="2722957" cy="32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8CF0D605-DCB7-4EC2-A5B5-A19250D08389}" type="TxLink">
            <a:rPr lang="en-US" sz="1600" b="0" i="0" u="none" strike="noStrike">
              <a:solidFill>
                <a:srgbClr val="000000"/>
              </a:solidFill>
              <a:latin typeface="Arial" panose="020B0604020202020204" pitchFamily="34" charset="0"/>
              <a:cs typeface="Arial" panose="020B0604020202020204" pitchFamily="34" charset="0"/>
            </a:rPr>
            <a:pPr algn="l"/>
            <a:t> </a:t>
          </a:fld>
          <a:endParaRPr lang="en-US" sz="1600" b="0">
            <a:latin typeface="Arial" pitchFamily="34" charset="0"/>
            <a:cs typeface="Arial" pitchFamily="34" charset="0"/>
          </a:endParaRPr>
        </a:p>
      </xdr:txBody>
    </xdr:sp>
    <xdr:clientData/>
  </xdr:twoCellAnchor>
  <xdr:twoCellAnchor>
    <xdr:from>
      <xdr:col>2</xdr:col>
      <xdr:colOff>142740</xdr:colOff>
      <xdr:row>1</xdr:row>
      <xdr:rowOff>228600</xdr:rowOff>
    </xdr:from>
    <xdr:to>
      <xdr:col>2</xdr:col>
      <xdr:colOff>1009650</xdr:colOff>
      <xdr:row>3</xdr:row>
      <xdr:rowOff>8416</xdr:rowOff>
    </xdr:to>
    <xdr:sp macro="" textlink="$P$2">
      <xdr:nvSpPr>
        <xdr:cNvPr id="23" name="TextBox 22">
          <a:extLst>
            <a:ext uri="{FF2B5EF4-FFF2-40B4-BE49-F238E27FC236}">
              <a16:creationId xmlns:a16="http://schemas.microsoft.com/office/drawing/2014/main" id="{00000000-0008-0000-0500-000017000000}"/>
            </a:ext>
          </a:extLst>
        </xdr:cNvPr>
        <xdr:cNvSpPr txBox="1"/>
      </xdr:nvSpPr>
      <xdr:spPr>
        <a:xfrm>
          <a:off x="3457440" y="533400"/>
          <a:ext cx="866910" cy="389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39ABB281-18C4-4B63-B531-D67B0FEC993C}" type="TxLink">
            <a:rPr lang="en-US" sz="1400" b="0" i="0" u="none" strike="noStrike">
              <a:solidFill>
                <a:srgbClr val="000000"/>
              </a:solidFill>
              <a:latin typeface="Arial" panose="020B0604020202020204" pitchFamily="34" charset="0"/>
              <a:cs typeface="Arial" panose="020B0604020202020204" pitchFamily="34" charset="0"/>
            </a:rPr>
            <a:pPr algn="ctr"/>
            <a:t> -- </a:t>
          </a:fld>
          <a:endParaRPr lang="en-US" sz="1400" b="0">
            <a:latin typeface="Arial" pitchFamily="34" charset="0"/>
            <a:cs typeface="Arial" pitchFamily="34" charset="0"/>
          </a:endParaRPr>
        </a:p>
      </xdr:txBody>
    </xdr:sp>
    <xdr:clientData/>
  </xdr:twoCellAnchor>
  <xdr:twoCellAnchor>
    <xdr:from>
      <xdr:col>5</xdr:col>
      <xdr:colOff>133350</xdr:colOff>
      <xdr:row>40</xdr:row>
      <xdr:rowOff>209550</xdr:rowOff>
    </xdr:from>
    <xdr:to>
      <xdr:col>6</xdr:col>
      <xdr:colOff>201374</xdr:colOff>
      <xdr:row>42</xdr:row>
      <xdr:rowOff>8238</xdr:rowOff>
    </xdr:to>
    <xdr:sp macro="" textlink="$Q$27">
      <xdr:nvSpPr>
        <xdr:cNvPr id="24" name="TextBox 23">
          <a:extLst>
            <a:ext uri="{FF2B5EF4-FFF2-40B4-BE49-F238E27FC236}">
              <a16:creationId xmlns:a16="http://schemas.microsoft.com/office/drawing/2014/main" id="{00000000-0008-0000-0500-000018000000}"/>
            </a:ext>
          </a:extLst>
        </xdr:cNvPr>
        <xdr:cNvSpPr txBox="1"/>
      </xdr:nvSpPr>
      <xdr:spPr>
        <a:xfrm>
          <a:off x="8420100" y="12401550"/>
          <a:ext cx="1725374" cy="408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A4C6375-6DEF-458B-A69D-A708D2EA78A5}"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0</xdr:col>
      <xdr:colOff>0</xdr:colOff>
      <xdr:row>42</xdr:row>
      <xdr:rowOff>114299</xdr:rowOff>
    </xdr:from>
    <xdr:to>
      <xdr:col>6</xdr:col>
      <xdr:colOff>114300</xdr:colOff>
      <xdr:row>45</xdr:row>
      <xdr:rowOff>336358</xdr:rowOff>
    </xdr:to>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0" y="12915899"/>
          <a:ext cx="10058400" cy="1022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700" b="1">
              <a:latin typeface="Arial" pitchFamily="34" charset="0"/>
              <a:cs typeface="Arial" pitchFamily="34" charset="0"/>
            </a:rPr>
            <a:t>DO NOT USE  FOR CONSTRUCTION OR FABRICATION</a:t>
          </a:r>
        </a:p>
      </xdr:txBody>
    </xdr:sp>
    <xdr:clientData/>
  </xdr:twoCellAnchor>
  <xdr:twoCellAnchor>
    <xdr:from>
      <xdr:col>2</xdr:col>
      <xdr:colOff>285750</xdr:colOff>
      <xdr:row>40</xdr:row>
      <xdr:rowOff>209550</xdr:rowOff>
    </xdr:from>
    <xdr:to>
      <xdr:col>3</xdr:col>
      <xdr:colOff>353774</xdr:colOff>
      <xdr:row>42</xdr:row>
      <xdr:rowOff>8238</xdr:rowOff>
    </xdr:to>
    <xdr:sp macro="" textlink="$S$7">
      <xdr:nvSpPr>
        <xdr:cNvPr id="26" name="TextBox 25">
          <a:extLst>
            <a:ext uri="{FF2B5EF4-FFF2-40B4-BE49-F238E27FC236}">
              <a16:creationId xmlns:a16="http://schemas.microsoft.com/office/drawing/2014/main" id="{00000000-0008-0000-0500-00001A000000}"/>
            </a:ext>
          </a:extLst>
        </xdr:cNvPr>
        <xdr:cNvSpPr txBox="1"/>
      </xdr:nvSpPr>
      <xdr:spPr>
        <a:xfrm>
          <a:off x="3600450" y="12401550"/>
          <a:ext cx="1725374" cy="408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6BAC5B8-5ED6-4DC8-AD17-64B85157467E}"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3</xdr:col>
      <xdr:colOff>1638300</xdr:colOff>
      <xdr:row>27</xdr:row>
      <xdr:rowOff>19050</xdr:rowOff>
    </xdr:from>
    <xdr:to>
      <xdr:col>4</xdr:col>
      <xdr:colOff>857250</xdr:colOff>
      <xdr:row>28</xdr:row>
      <xdr:rowOff>84438</xdr:rowOff>
    </xdr:to>
    <xdr:sp macro="" textlink="P27">
      <xdr:nvSpPr>
        <xdr:cNvPr id="28" name="TextBox 27">
          <a:extLst>
            <a:ext uri="{FF2B5EF4-FFF2-40B4-BE49-F238E27FC236}">
              <a16:creationId xmlns:a16="http://schemas.microsoft.com/office/drawing/2014/main" id="{00000000-0008-0000-0500-00001C000000}"/>
            </a:ext>
          </a:extLst>
        </xdr:cNvPr>
        <xdr:cNvSpPr txBox="1"/>
      </xdr:nvSpPr>
      <xdr:spPr>
        <a:xfrm>
          <a:off x="6610350" y="8248650"/>
          <a:ext cx="876300" cy="370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00E24DF-13CE-482D-91E1-66C510FDEFC3}"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4</xdr:col>
      <xdr:colOff>361950</xdr:colOff>
      <xdr:row>25</xdr:row>
      <xdr:rowOff>209550</xdr:rowOff>
    </xdr:from>
    <xdr:to>
      <xdr:col>4</xdr:col>
      <xdr:colOff>1314450</xdr:colOff>
      <xdr:row>27</xdr:row>
      <xdr:rowOff>46338</xdr:rowOff>
    </xdr:to>
    <xdr:sp macro="" textlink="P26">
      <xdr:nvSpPr>
        <xdr:cNvPr id="29" name="TextBox 28">
          <a:extLst>
            <a:ext uri="{FF2B5EF4-FFF2-40B4-BE49-F238E27FC236}">
              <a16:creationId xmlns:a16="http://schemas.microsoft.com/office/drawing/2014/main" id="{00000000-0008-0000-0500-00001D000000}"/>
            </a:ext>
          </a:extLst>
        </xdr:cNvPr>
        <xdr:cNvSpPr txBox="1"/>
      </xdr:nvSpPr>
      <xdr:spPr>
        <a:xfrm>
          <a:off x="6991350" y="7829550"/>
          <a:ext cx="952500" cy="4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CAB4B6C8-C634-4C07-B908-4C3163E63B21}" type="TxLink">
            <a:rPr lang="en-US" sz="1400" b="0" i="0" u="none" strike="noStrike">
              <a:solidFill>
                <a:srgbClr val="000000"/>
              </a:solidFill>
              <a:latin typeface="Arial" panose="020B0604020202020204" pitchFamily="34" charset="0"/>
              <a:cs typeface="Arial" panose="020B0604020202020204" pitchFamily="34" charset="0"/>
            </a:rPr>
            <a:pPr algn="ctr"/>
            <a:t> </a:t>
          </a:fld>
          <a:endParaRPr lang="en-US" sz="1400" b="0">
            <a:latin typeface="Arial" pitchFamily="34" charset="0"/>
            <a:cs typeface="Arial" pitchFamily="34" charset="0"/>
          </a:endParaRPr>
        </a:p>
      </xdr:txBody>
    </xdr:sp>
    <xdr:clientData/>
  </xdr:twoCellAnchor>
  <xdr:twoCellAnchor>
    <xdr:from>
      <xdr:col>4</xdr:col>
      <xdr:colOff>1390650</xdr:colOff>
      <xdr:row>15</xdr:row>
      <xdr:rowOff>76200</xdr:rowOff>
    </xdr:from>
    <xdr:to>
      <xdr:col>9</xdr:col>
      <xdr:colOff>419100</xdr:colOff>
      <xdr:row>19</xdr:row>
      <xdr:rowOff>133350</xdr:rowOff>
    </xdr:to>
    <xdr:sp macro="" textlink="N28">
      <xdr:nvSpPr>
        <xdr:cNvPr id="30" name="TextBox 29">
          <a:extLst>
            <a:ext uri="{FF2B5EF4-FFF2-40B4-BE49-F238E27FC236}">
              <a16:creationId xmlns:a16="http://schemas.microsoft.com/office/drawing/2014/main" id="{00000000-0008-0000-0500-00001E000000}"/>
            </a:ext>
          </a:extLst>
        </xdr:cNvPr>
        <xdr:cNvSpPr txBox="1"/>
      </xdr:nvSpPr>
      <xdr:spPr>
        <a:xfrm>
          <a:off x="8020050" y="4648200"/>
          <a:ext cx="7315200"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752FEC44-4991-4FBE-A413-219032EBB146}" type="TxLink">
            <a:rPr lang="en-US" sz="2400" b="0" i="0" u="none" strike="noStrike">
              <a:solidFill>
                <a:srgbClr val="FF0000"/>
              </a:solidFill>
              <a:latin typeface="Arial" panose="020B0604020202020204" pitchFamily="34" charset="0"/>
              <a:cs typeface="Arial" panose="020B0604020202020204" pitchFamily="34" charset="0"/>
            </a:rPr>
            <a:pPr algn="l"/>
            <a:t>Hydro International Does Not Recommend Use of This Drawing for the Design Parameters Entered. Use DWG 1-6 Modules (Online) on Tab 3a.</a:t>
          </a:fld>
          <a:endParaRPr lang="en-US" sz="2400" b="1">
            <a:solidFill>
              <a:srgbClr val="FF0000"/>
            </a:solidFill>
            <a:latin typeface="Arial" pitchFamily="34" charset="0"/>
            <a:cs typeface="Arial" pitchFamily="34" charset="0"/>
          </a:endParaRPr>
        </a:p>
      </xdr:txBody>
    </xdr:sp>
    <xdr:clientData/>
  </xdr:twoCellAnchor>
  <xdr:twoCellAnchor>
    <xdr:from>
      <xdr:col>8</xdr:col>
      <xdr:colOff>501966</xdr:colOff>
      <xdr:row>24</xdr:row>
      <xdr:rowOff>254850</xdr:rowOff>
    </xdr:from>
    <xdr:to>
      <xdr:col>8</xdr:col>
      <xdr:colOff>1579388</xdr:colOff>
      <xdr:row>25</xdr:row>
      <xdr:rowOff>273293</xdr:rowOff>
    </xdr:to>
    <xdr:sp macro="" textlink="$O$29">
      <xdr:nvSpPr>
        <xdr:cNvPr id="31" name="TextBox 30">
          <a:extLst>
            <a:ext uri="{FF2B5EF4-FFF2-40B4-BE49-F238E27FC236}">
              <a16:creationId xmlns:a16="http://schemas.microsoft.com/office/drawing/2014/main" id="{00000000-0008-0000-0500-00001F000000}"/>
            </a:ext>
          </a:extLst>
        </xdr:cNvPr>
        <xdr:cNvSpPr txBox="1"/>
      </xdr:nvSpPr>
      <xdr:spPr>
        <a:xfrm>
          <a:off x="13760766" y="7570050"/>
          <a:ext cx="1077422" cy="323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496D6FE0-CA44-47B0-9965-405AF24CB6F2}" type="TxLink">
            <a:rPr lang="en-US" sz="1400" b="0" i="0" u="none" strike="noStrike">
              <a:solidFill>
                <a:srgbClr val="000000"/>
              </a:solidFill>
              <a:latin typeface="Arial" panose="020B0604020202020204" pitchFamily="34" charset="0"/>
              <a:cs typeface="Arial" panose="020B0604020202020204" pitchFamily="34" charset="0"/>
            </a:rPr>
            <a:pPr algn="r"/>
            <a:t> -- </a:t>
          </a:fld>
          <a:endParaRPr lang="en-US" sz="1400" b="0">
            <a:solidFill>
              <a:srgbClr val="FF0000"/>
            </a:solidFill>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304802</xdr:colOff>
      <xdr:row>0</xdr:row>
      <xdr:rowOff>76200</xdr:rowOff>
    </xdr:from>
    <xdr:to>
      <xdr:col>11</xdr:col>
      <xdr:colOff>152333</xdr:colOff>
      <xdr:row>44</xdr:row>
      <xdr:rowOff>1162049</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981168" y="-1600166"/>
          <a:ext cx="14497049" cy="17849781"/>
        </a:xfrm>
        <a:prstGeom prst="rect">
          <a:avLst/>
        </a:prstGeom>
        <a:ln>
          <a:noFill/>
        </a:ln>
      </xdr:spPr>
    </xdr:pic>
    <xdr:clientData/>
  </xdr:twoCellAnchor>
  <xdr:twoCellAnchor>
    <xdr:from>
      <xdr:col>7</xdr:col>
      <xdr:colOff>1087043</xdr:colOff>
      <xdr:row>5</xdr:row>
      <xdr:rowOff>61727</xdr:rowOff>
    </xdr:from>
    <xdr:to>
      <xdr:col>8</xdr:col>
      <xdr:colOff>842568</xdr:colOff>
      <xdr:row>6</xdr:row>
      <xdr:rowOff>109462</xdr:rowOff>
    </xdr:to>
    <xdr:sp macro="" textlink="$R$2">
      <xdr:nvSpPr>
        <xdr:cNvPr id="3" name="TextBox 2">
          <a:extLst>
            <a:ext uri="{FF2B5EF4-FFF2-40B4-BE49-F238E27FC236}">
              <a16:creationId xmlns:a16="http://schemas.microsoft.com/office/drawing/2014/main" id="{00000000-0008-0000-0600-000003000000}"/>
            </a:ext>
          </a:extLst>
        </xdr:cNvPr>
        <xdr:cNvSpPr txBox="1"/>
      </xdr:nvSpPr>
      <xdr:spPr>
        <a:xfrm>
          <a:off x="12688493" y="1585727"/>
          <a:ext cx="1412875" cy="352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2C5991A-E921-4EB5-9C3F-B41EC6187921}" type="TxLink">
            <a:rPr lang="en-US" sz="1400" b="1" i="0" u="none" strike="noStrike">
              <a:solidFill>
                <a:srgbClr val="000000"/>
              </a:solidFill>
              <a:latin typeface="Arial" pitchFamily="34" charset="0"/>
              <a:cs typeface="Arial" pitchFamily="34" charset="0"/>
            </a:rPr>
            <a:pPr algn="r"/>
            <a:t> </a:t>
          </a:fld>
          <a:endParaRPr lang="en-US" sz="1400" b="1">
            <a:latin typeface="Arial" pitchFamily="34" charset="0"/>
            <a:cs typeface="Arial" pitchFamily="34" charset="0"/>
          </a:endParaRPr>
        </a:p>
      </xdr:txBody>
    </xdr:sp>
    <xdr:clientData/>
  </xdr:twoCellAnchor>
  <xdr:twoCellAnchor>
    <xdr:from>
      <xdr:col>7</xdr:col>
      <xdr:colOff>1361052</xdr:colOff>
      <xdr:row>6</xdr:row>
      <xdr:rowOff>158140</xdr:rowOff>
    </xdr:from>
    <xdr:to>
      <xdr:col>8</xdr:col>
      <xdr:colOff>819861</xdr:colOff>
      <xdr:row>7</xdr:row>
      <xdr:rowOff>203560</xdr:rowOff>
    </xdr:to>
    <xdr:sp macro="" textlink="$P$18">
      <xdr:nvSpPr>
        <xdr:cNvPr id="4" name="TextBox 3">
          <a:extLst>
            <a:ext uri="{FF2B5EF4-FFF2-40B4-BE49-F238E27FC236}">
              <a16:creationId xmlns:a16="http://schemas.microsoft.com/office/drawing/2014/main" id="{00000000-0008-0000-0600-000004000000}"/>
            </a:ext>
          </a:extLst>
        </xdr:cNvPr>
        <xdr:cNvSpPr txBox="1"/>
      </xdr:nvSpPr>
      <xdr:spPr>
        <a:xfrm>
          <a:off x="12962502" y="1986940"/>
          <a:ext cx="1116159"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4BEB4FE9-F372-4D15-A2B5-B552C7591B1A}" type="TxLink">
            <a:rPr lang="en-US" sz="1400" b="1" i="0" u="none" strike="noStrike">
              <a:solidFill>
                <a:srgbClr val="000000"/>
              </a:solidFill>
              <a:latin typeface="Arial" panose="020B0604020202020204" pitchFamily="34" charset="0"/>
              <a:cs typeface="Arial" panose="020B0604020202020204" pitchFamily="34" charset="0"/>
            </a:rPr>
            <a:pPr algn="r"/>
            <a:t> </a:t>
          </a:fld>
          <a:endParaRPr lang="en-US" sz="1400" b="1">
            <a:latin typeface="Arial" pitchFamily="34" charset="0"/>
            <a:cs typeface="Arial" pitchFamily="34" charset="0"/>
          </a:endParaRPr>
        </a:p>
      </xdr:txBody>
    </xdr:sp>
    <xdr:clientData/>
  </xdr:twoCellAnchor>
  <xdr:twoCellAnchor>
    <xdr:from>
      <xdr:col>7</xdr:col>
      <xdr:colOff>1124968</xdr:colOff>
      <xdr:row>7</xdr:row>
      <xdr:rowOff>280662</xdr:rowOff>
    </xdr:from>
    <xdr:to>
      <xdr:col>8</xdr:col>
      <xdr:colOff>870483</xdr:colOff>
      <xdr:row>9</xdr:row>
      <xdr:rowOff>21283</xdr:rowOff>
    </xdr:to>
    <xdr:sp macro="" textlink="$P$7">
      <xdr:nvSpPr>
        <xdr:cNvPr id="5" name="TextBox 4">
          <a:extLst>
            <a:ext uri="{FF2B5EF4-FFF2-40B4-BE49-F238E27FC236}">
              <a16:creationId xmlns:a16="http://schemas.microsoft.com/office/drawing/2014/main" id="{00000000-0008-0000-0600-000005000000}"/>
            </a:ext>
          </a:extLst>
        </xdr:cNvPr>
        <xdr:cNvSpPr txBox="1"/>
      </xdr:nvSpPr>
      <xdr:spPr>
        <a:xfrm>
          <a:off x="12726418" y="2414262"/>
          <a:ext cx="1402865"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596C5EDC-4E90-4C4D-82F6-5BE0883DDB95}"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1112549</xdr:colOff>
      <xdr:row>9</xdr:row>
      <xdr:rowOff>68317</xdr:rowOff>
    </xdr:from>
    <xdr:to>
      <xdr:col>8</xdr:col>
      <xdr:colOff>868074</xdr:colOff>
      <xdr:row>10</xdr:row>
      <xdr:rowOff>113737</xdr:rowOff>
    </xdr:to>
    <xdr:sp macro="" textlink="$P$8">
      <xdr:nvSpPr>
        <xdr:cNvPr id="6" name="TextBox 5">
          <a:extLst>
            <a:ext uri="{FF2B5EF4-FFF2-40B4-BE49-F238E27FC236}">
              <a16:creationId xmlns:a16="http://schemas.microsoft.com/office/drawing/2014/main" id="{00000000-0008-0000-0600-000006000000}"/>
            </a:ext>
          </a:extLst>
        </xdr:cNvPr>
        <xdr:cNvSpPr txBox="1"/>
      </xdr:nvSpPr>
      <xdr:spPr>
        <a:xfrm>
          <a:off x="12713999" y="2811517"/>
          <a:ext cx="1412875" cy="350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68C75C31-1BEE-448E-A90C-52DE92549629}"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1189738</xdr:colOff>
      <xdr:row>14</xdr:row>
      <xdr:rowOff>167961</xdr:rowOff>
    </xdr:from>
    <xdr:to>
      <xdr:col>8</xdr:col>
      <xdr:colOff>877755</xdr:colOff>
      <xdr:row>15</xdr:row>
      <xdr:rowOff>213382</xdr:rowOff>
    </xdr:to>
    <xdr:sp macro="" textlink="$P$14">
      <xdr:nvSpPr>
        <xdr:cNvPr id="7" name="TextBox 6">
          <a:extLst>
            <a:ext uri="{FF2B5EF4-FFF2-40B4-BE49-F238E27FC236}">
              <a16:creationId xmlns:a16="http://schemas.microsoft.com/office/drawing/2014/main" id="{00000000-0008-0000-0600-000007000000}"/>
            </a:ext>
          </a:extLst>
        </xdr:cNvPr>
        <xdr:cNvSpPr txBox="1"/>
      </xdr:nvSpPr>
      <xdr:spPr>
        <a:xfrm>
          <a:off x="12791188" y="4435161"/>
          <a:ext cx="1345367"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46C459A-0998-4476-B714-EACF2C658C75}" type="TxLink">
            <a:rPr lang="en-US" sz="1400" b="1" i="0" u="none" strike="noStrike">
              <a:solidFill>
                <a:srgbClr val="000000"/>
              </a:solidFill>
              <a:latin typeface="Arial" panose="020B0604020202020204" pitchFamily="34" charset="0"/>
              <a:cs typeface="Arial" panose="020B0604020202020204" pitchFamily="34" charset="0"/>
            </a:rPr>
            <a:pPr algn="r"/>
            <a:t> -- </a:t>
          </a:fld>
          <a:endParaRPr lang="en-US" sz="1400" b="1">
            <a:latin typeface="Arial" pitchFamily="34" charset="0"/>
            <a:cs typeface="Arial" pitchFamily="34" charset="0"/>
          </a:endParaRPr>
        </a:p>
      </xdr:txBody>
    </xdr:sp>
    <xdr:clientData/>
  </xdr:twoCellAnchor>
  <xdr:twoCellAnchor>
    <xdr:from>
      <xdr:col>7</xdr:col>
      <xdr:colOff>1113580</xdr:colOff>
      <xdr:row>11</xdr:row>
      <xdr:rowOff>273145</xdr:rowOff>
    </xdr:from>
    <xdr:to>
      <xdr:col>8</xdr:col>
      <xdr:colOff>869105</xdr:colOff>
      <xdr:row>13</xdr:row>
      <xdr:rowOff>15497</xdr:rowOff>
    </xdr:to>
    <xdr:sp macro="" textlink="$P$10">
      <xdr:nvSpPr>
        <xdr:cNvPr id="8" name="TextBox 7">
          <a:extLst>
            <a:ext uri="{FF2B5EF4-FFF2-40B4-BE49-F238E27FC236}">
              <a16:creationId xmlns:a16="http://schemas.microsoft.com/office/drawing/2014/main" id="{00000000-0008-0000-0600-000008000000}"/>
            </a:ext>
          </a:extLst>
        </xdr:cNvPr>
        <xdr:cNvSpPr txBox="1"/>
      </xdr:nvSpPr>
      <xdr:spPr>
        <a:xfrm>
          <a:off x="12715030" y="362594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E928F92A-7701-45AD-B328-8E1562278BAC}"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7</xdr:col>
      <xdr:colOff>1112796</xdr:colOff>
      <xdr:row>13</xdr:row>
      <xdr:rowOff>96663</xdr:rowOff>
    </xdr:from>
    <xdr:to>
      <xdr:col>8</xdr:col>
      <xdr:colOff>877846</xdr:colOff>
      <xdr:row>14</xdr:row>
      <xdr:rowOff>142084</xdr:rowOff>
    </xdr:to>
    <xdr:sp macro="" textlink="$P$11">
      <xdr:nvSpPr>
        <xdr:cNvPr id="9" name="TextBox 8">
          <a:extLst>
            <a:ext uri="{FF2B5EF4-FFF2-40B4-BE49-F238E27FC236}">
              <a16:creationId xmlns:a16="http://schemas.microsoft.com/office/drawing/2014/main" id="{00000000-0008-0000-0600-000009000000}"/>
            </a:ext>
          </a:extLst>
        </xdr:cNvPr>
        <xdr:cNvSpPr txBox="1"/>
      </xdr:nvSpPr>
      <xdr:spPr>
        <a:xfrm>
          <a:off x="12714246" y="4059063"/>
          <a:ext cx="1422400" cy="35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DB23A8DE-BFA4-49F6-9E84-2E8AA061E33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9</xdr:col>
      <xdr:colOff>254160</xdr:colOff>
      <xdr:row>2</xdr:row>
      <xdr:rowOff>14889</xdr:rowOff>
    </xdr:from>
    <xdr:to>
      <xdr:col>11</xdr:col>
      <xdr:colOff>19050</xdr:colOff>
      <xdr:row>5</xdr:row>
      <xdr:rowOff>72039</xdr:rowOff>
    </xdr:to>
    <xdr:sp macro="" textlink="$N$15">
      <xdr:nvSpPr>
        <xdr:cNvPr id="10" name="TextBox 9">
          <a:extLst>
            <a:ext uri="{FF2B5EF4-FFF2-40B4-BE49-F238E27FC236}">
              <a16:creationId xmlns:a16="http://schemas.microsoft.com/office/drawing/2014/main" id="{00000000-0008-0000-0600-00000A000000}"/>
            </a:ext>
          </a:extLst>
        </xdr:cNvPr>
        <xdr:cNvSpPr txBox="1"/>
      </xdr:nvSpPr>
      <xdr:spPr>
        <a:xfrm>
          <a:off x="15170310" y="624489"/>
          <a:ext cx="285099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98D6DD86-B9C9-4F3C-B9C1-38C8DB51BC58}" type="TxLink">
            <a:rPr lang="en-US" sz="1200" b="1" i="0" u="none" strike="noStrike">
              <a:solidFill>
                <a:srgbClr val="000000"/>
              </a:solidFill>
              <a:latin typeface="Arial" pitchFamily="34" charset="0"/>
              <a:cs typeface="Arial" pitchFamily="34" charset="0"/>
            </a:rPr>
            <a:pPr/>
            <a:t>1.  THIS IS A STANDARD DETAIL AND IS NOT SITE SPECIFIC.  ACTUAL INLET PIPE DIAMETER AND ANGLE MAY BE DIFFERENT THAN SHOWN.</a:t>
          </a:fld>
          <a:endParaRPr lang="en-US" sz="1200" b="1">
            <a:latin typeface="Arial" pitchFamily="34" charset="0"/>
            <a:cs typeface="Arial" pitchFamily="34" charset="0"/>
          </a:endParaRPr>
        </a:p>
      </xdr:txBody>
    </xdr:sp>
    <xdr:clientData/>
  </xdr:twoCellAnchor>
  <xdr:twoCellAnchor>
    <xdr:from>
      <xdr:col>9</xdr:col>
      <xdr:colOff>250787</xdr:colOff>
      <xdr:row>5</xdr:row>
      <xdr:rowOff>54552</xdr:rowOff>
    </xdr:from>
    <xdr:to>
      <xdr:col>10</xdr:col>
      <xdr:colOff>1416021</xdr:colOff>
      <xdr:row>9</xdr:row>
      <xdr:rowOff>159328</xdr:rowOff>
    </xdr:to>
    <xdr:sp macro="" textlink="$N$16">
      <xdr:nvSpPr>
        <xdr:cNvPr id="11" name="TextBox 10">
          <a:extLst>
            <a:ext uri="{FF2B5EF4-FFF2-40B4-BE49-F238E27FC236}">
              <a16:creationId xmlns:a16="http://schemas.microsoft.com/office/drawing/2014/main" id="{00000000-0008-0000-0600-00000B000000}"/>
            </a:ext>
          </a:extLst>
        </xdr:cNvPr>
        <xdr:cNvSpPr txBox="1"/>
      </xdr:nvSpPr>
      <xdr:spPr>
        <a:xfrm>
          <a:off x="15166937" y="1578552"/>
          <a:ext cx="2822584"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47376E3-0918-4492-AA43-D0CFE27E0F9B}" type="TxLink">
            <a:rPr lang="en-US" sz="1200" b="1" i="0" u="none" strike="noStrike">
              <a:solidFill>
                <a:srgbClr val="000000"/>
              </a:solidFill>
              <a:latin typeface="Arial" pitchFamily="34" charset="0"/>
              <a:cs typeface="Arial" pitchFamily="34" charset="0"/>
            </a:rPr>
            <a:pPr/>
            <a:t>2.  REFER TO SUBMITTAL OR FABRICATION DRAWINGS FOR FINAL RIM AND INVERT ELEVATIONS.</a:t>
          </a:fld>
          <a:endParaRPr lang="en-US" sz="1200" b="1">
            <a:latin typeface="Arial" pitchFamily="34" charset="0"/>
            <a:cs typeface="Arial" pitchFamily="34" charset="0"/>
          </a:endParaRPr>
        </a:p>
      </xdr:txBody>
    </xdr:sp>
    <xdr:clientData/>
  </xdr:twoCellAnchor>
  <xdr:twoCellAnchor>
    <xdr:from>
      <xdr:col>9</xdr:col>
      <xdr:colOff>252399</xdr:colOff>
      <xdr:row>7</xdr:row>
      <xdr:rowOff>203968</xdr:rowOff>
    </xdr:from>
    <xdr:to>
      <xdr:col>10</xdr:col>
      <xdr:colOff>1306508</xdr:colOff>
      <xdr:row>10</xdr:row>
      <xdr:rowOff>129284</xdr:rowOff>
    </xdr:to>
    <xdr:sp macro="" textlink="$N$17">
      <xdr:nvSpPr>
        <xdr:cNvPr id="12" name="TextBox 11">
          <a:extLst>
            <a:ext uri="{FF2B5EF4-FFF2-40B4-BE49-F238E27FC236}">
              <a16:creationId xmlns:a16="http://schemas.microsoft.com/office/drawing/2014/main" id="{00000000-0008-0000-0600-00000C000000}"/>
            </a:ext>
          </a:extLst>
        </xdr:cNvPr>
        <xdr:cNvSpPr txBox="1"/>
      </xdr:nvSpPr>
      <xdr:spPr>
        <a:xfrm>
          <a:off x="15168549" y="2337568"/>
          <a:ext cx="2711459" cy="839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0253505-454D-45B4-84EE-18A2EBC0EC68}" type="TxLink">
            <a:rPr lang="en-US" sz="1200" b="1" i="0" u="none" strike="noStrike">
              <a:solidFill>
                <a:srgbClr val="000000"/>
              </a:solidFill>
              <a:latin typeface="Arial" pitchFamily="34" charset="0"/>
              <a:cs typeface="Arial" pitchFamily="34" charset="0"/>
            </a:rPr>
            <a:pPr/>
            <a:t>3.  CONTACT HYDRO INTERNATIONAL FOR SITE SPECIFIC DRAWINGS AND INSTALLATION REQUIREMENTS.</a:t>
          </a:fld>
          <a:endParaRPr lang="en-US" sz="1200" b="1">
            <a:latin typeface="Arial" pitchFamily="34" charset="0"/>
            <a:cs typeface="Arial" pitchFamily="34" charset="0"/>
          </a:endParaRPr>
        </a:p>
      </xdr:txBody>
    </xdr:sp>
    <xdr:clientData/>
  </xdr:twoCellAnchor>
  <xdr:twoCellAnchor>
    <xdr:from>
      <xdr:col>9</xdr:col>
      <xdr:colOff>215494</xdr:colOff>
      <xdr:row>25</xdr:row>
      <xdr:rowOff>19050</xdr:rowOff>
    </xdr:from>
    <xdr:to>
      <xdr:col>11</xdr:col>
      <xdr:colOff>0</xdr:colOff>
      <xdr:row>27</xdr:row>
      <xdr:rowOff>171450</xdr:rowOff>
    </xdr:to>
    <xdr:sp macro="" textlink="'2-Sizing'!$D$11:$E$11">
      <xdr:nvSpPr>
        <xdr:cNvPr id="13" name="TextBox 12">
          <a:extLst>
            <a:ext uri="{FF2B5EF4-FFF2-40B4-BE49-F238E27FC236}">
              <a16:creationId xmlns:a16="http://schemas.microsoft.com/office/drawing/2014/main" id="{00000000-0008-0000-0600-00000D000000}"/>
            </a:ext>
          </a:extLst>
        </xdr:cNvPr>
        <xdr:cNvSpPr txBox="1"/>
      </xdr:nvSpPr>
      <xdr:spPr>
        <a:xfrm>
          <a:off x="15131644" y="7639050"/>
          <a:ext cx="2870606"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3B3309-7C09-4E98-83DC-084CDFE7C20F}" type="TxLink">
            <a:rPr lang="en-US" sz="1600" b="1" i="0" u="none" strike="noStrike">
              <a:solidFill>
                <a:schemeClr val="tx1"/>
              </a:solidFill>
              <a:latin typeface="Arial" pitchFamily="34" charset="0"/>
              <a:cs typeface="Arial" pitchFamily="34" charset="0"/>
            </a:rPr>
            <a:pPr/>
            <a:t> </a:t>
          </a:fld>
          <a:endParaRPr lang="en-US" sz="1600" b="1">
            <a:solidFill>
              <a:schemeClr val="tx1"/>
            </a:solidFill>
            <a:latin typeface="Arial" pitchFamily="34" charset="0"/>
            <a:cs typeface="Arial" pitchFamily="34" charset="0"/>
          </a:endParaRPr>
        </a:p>
      </xdr:txBody>
    </xdr:sp>
    <xdr:clientData/>
  </xdr:twoCellAnchor>
  <xdr:twoCellAnchor>
    <xdr:from>
      <xdr:col>9</xdr:col>
      <xdr:colOff>217128</xdr:colOff>
      <xdr:row>27</xdr:row>
      <xdr:rowOff>152400</xdr:rowOff>
    </xdr:from>
    <xdr:to>
      <xdr:col>11</xdr:col>
      <xdr:colOff>-1</xdr:colOff>
      <xdr:row>30</xdr:row>
      <xdr:rowOff>19050</xdr:rowOff>
    </xdr:to>
    <xdr:sp macro="" textlink="'2-Sizing'!D12:E12">
      <xdr:nvSpPr>
        <xdr:cNvPr id="14" name="TextBox 13">
          <a:extLst>
            <a:ext uri="{FF2B5EF4-FFF2-40B4-BE49-F238E27FC236}">
              <a16:creationId xmlns:a16="http://schemas.microsoft.com/office/drawing/2014/main" id="{00000000-0008-0000-0600-00000E000000}"/>
            </a:ext>
          </a:extLst>
        </xdr:cNvPr>
        <xdr:cNvSpPr txBox="1"/>
      </xdr:nvSpPr>
      <xdr:spPr>
        <a:xfrm>
          <a:off x="15133278" y="8382000"/>
          <a:ext cx="2868971"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DBAA6FE-849C-4A93-8711-407928577E20}" type="TxLink">
            <a:rPr lang="en-US" sz="1600" b="1" i="0" u="none" strike="noStrike">
              <a:solidFill>
                <a:sysClr val="windowText" lastClr="000000"/>
              </a:solidFill>
              <a:latin typeface="Arial" pitchFamily="34" charset="0"/>
              <a:cs typeface="Arial" pitchFamily="34" charset="0"/>
            </a:rPr>
            <a:pPr/>
            <a:t> </a:t>
          </a:fld>
          <a:endParaRPr lang="en-US" sz="1600" b="1">
            <a:solidFill>
              <a:sysClr val="windowText" lastClr="000000"/>
            </a:solidFill>
            <a:latin typeface="Arial" pitchFamily="34" charset="0"/>
            <a:cs typeface="Arial" pitchFamily="34" charset="0"/>
          </a:endParaRPr>
        </a:p>
      </xdr:txBody>
    </xdr:sp>
    <xdr:clientData/>
  </xdr:twoCellAnchor>
  <xdr:twoCellAnchor>
    <xdr:from>
      <xdr:col>3</xdr:col>
      <xdr:colOff>1604149</xdr:colOff>
      <xdr:row>24</xdr:row>
      <xdr:rowOff>290965</xdr:rowOff>
    </xdr:from>
    <xdr:to>
      <xdr:col>4</xdr:col>
      <xdr:colOff>1113390</xdr:colOff>
      <xdr:row>26</xdr:row>
      <xdr:rowOff>652</xdr:rowOff>
    </xdr:to>
    <xdr:sp macro="" textlink="$O$19">
      <xdr:nvSpPr>
        <xdr:cNvPr id="15" name="TextBox 14">
          <a:extLst>
            <a:ext uri="{FF2B5EF4-FFF2-40B4-BE49-F238E27FC236}">
              <a16:creationId xmlns:a16="http://schemas.microsoft.com/office/drawing/2014/main" id="{00000000-0008-0000-0600-00000F000000}"/>
            </a:ext>
          </a:extLst>
        </xdr:cNvPr>
        <xdr:cNvSpPr txBox="1"/>
      </xdr:nvSpPr>
      <xdr:spPr>
        <a:xfrm>
          <a:off x="6576199" y="7606165"/>
          <a:ext cx="1166591"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CE23C439-9C17-4F20-9A6A-9C04D563DB9D}"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8</xdr:col>
      <xdr:colOff>352290</xdr:colOff>
      <xdr:row>21</xdr:row>
      <xdr:rowOff>290192</xdr:rowOff>
    </xdr:from>
    <xdr:to>
      <xdr:col>8</xdr:col>
      <xdr:colOff>1445204</xdr:colOff>
      <xdr:row>23</xdr:row>
      <xdr:rowOff>41751</xdr:rowOff>
    </xdr:to>
    <xdr:sp macro="" textlink="$O$20">
      <xdr:nvSpPr>
        <xdr:cNvPr id="16" name="TextBox 15">
          <a:extLst>
            <a:ext uri="{FF2B5EF4-FFF2-40B4-BE49-F238E27FC236}">
              <a16:creationId xmlns:a16="http://schemas.microsoft.com/office/drawing/2014/main" id="{00000000-0008-0000-0600-000010000000}"/>
            </a:ext>
          </a:extLst>
        </xdr:cNvPr>
        <xdr:cNvSpPr txBox="1"/>
      </xdr:nvSpPr>
      <xdr:spPr>
        <a:xfrm>
          <a:off x="13611090" y="6690992"/>
          <a:ext cx="1092914" cy="36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7B0CF839-5DBC-45CB-ABC5-4F179D1F1F87}" type="TxLink">
            <a:rPr lang="en-US" sz="1400" b="0" i="0" u="none" strike="noStrike">
              <a:solidFill>
                <a:sysClr val="windowText" lastClr="000000"/>
              </a:solidFill>
              <a:latin typeface="Arial" pitchFamily="34" charset="0"/>
              <a:cs typeface="Arial"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4</xdr:col>
      <xdr:colOff>1378266</xdr:colOff>
      <xdr:row>30</xdr:row>
      <xdr:rowOff>45300</xdr:rowOff>
    </xdr:from>
    <xdr:to>
      <xdr:col>5</xdr:col>
      <xdr:colOff>798338</xdr:colOff>
      <xdr:row>31</xdr:row>
      <xdr:rowOff>59787</xdr:rowOff>
    </xdr:to>
    <xdr:sp macro="" textlink="$O$21">
      <xdr:nvSpPr>
        <xdr:cNvPr id="17" name="TextBox 16">
          <a:extLst>
            <a:ext uri="{FF2B5EF4-FFF2-40B4-BE49-F238E27FC236}">
              <a16:creationId xmlns:a16="http://schemas.microsoft.com/office/drawing/2014/main" id="{00000000-0008-0000-0600-000011000000}"/>
            </a:ext>
          </a:extLst>
        </xdr:cNvPr>
        <xdr:cNvSpPr txBox="1"/>
      </xdr:nvSpPr>
      <xdr:spPr>
        <a:xfrm>
          <a:off x="8007666" y="9189300"/>
          <a:ext cx="1077422" cy="319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F5B76BA5-1524-4920-93B6-2CFFA975DF6F}" type="TxLink">
            <a:rPr lang="en-US" sz="1400" b="0" i="0" u="none" strike="noStrike">
              <a:solidFill>
                <a:sysClr val="windowText" lastClr="000000"/>
              </a:solidFill>
              <a:latin typeface="Arial" pitchFamily="34" charset="0"/>
              <a:cs typeface="Arial"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7</xdr:col>
      <xdr:colOff>1113580</xdr:colOff>
      <xdr:row>10</xdr:row>
      <xdr:rowOff>158845</xdr:rowOff>
    </xdr:from>
    <xdr:to>
      <xdr:col>8</xdr:col>
      <xdr:colOff>869105</xdr:colOff>
      <xdr:row>11</xdr:row>
      <xdr:rowOff>205997</xdr:rowOff>
    </xdr:to>
    <xdr:sp macro="" textlink="$P$4">
      <xdr:nvSpPr>
        <xdr:cNvPr id="18" name="TextBox 17">
          <a:extLst>
            <a:ext uri="{FF2B5EF4-FFF2-40B4-BE49-F238E27FC236}">
              <a16:creationId xmlns:a16="http://schemas.microsoft.com/office/drawing/2014/main" id="{00000000-0008-0000-0600-000012000000}"/>
            </a:ext>
          </a:extLst>
        </xdr:cNvPr>
        <xdr:cNvSpPr txBox="1"/>
      </xdr:nvSpPr>
      <xdr:spPr>
        <a:xfrm>
          <a:off x="12715030" y="3206845"/>
          <a:ext cx="1412875" cy="35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fld id="{85A43732-30A9-4F12-9B8A-F3C0C178BCA4}" type="TxLink">
            <a:rPr lang="en-US" sz="1400" b="1" i="0" u="none" strike="noStrike">
              <a:solidFill>
                <a:srgbClr val="000000"/>
              </a:solidFill>
              <a:latin typeface="Arial" pitchFamily="34" charset="0"/>
              <a:cs typeface="Arial" pitchFamily="34" charset="0"/>
            </a:rPr>
            <a:pPr algn="r"/>
            <a:t> -- </a:t>
          </a:fld>
          <a:endParaRPr lang="en-US" sz="1400" b="1">
            <a:latin typeface="Arial" pitchFamily="34" charset="0"/>
            <a:cs typeface="Arial" pitchFamily="34" charset="0"/>
          </a:endParaRPr>
        </a:p>
      </xdr:txBody>
    </xdr:sp>
    <xdr:clientData/>
  </xdr:twoCellAnchor>
  <xdr:twoCellAnchor>
    <xdr:from>
      <xdr:col>4</xdr:col>
      <xdr:colOff>1532176</xdr:colOff>
      <xdr:row>26</xdr:row>
      <xdr:rowOff>244408</xdr:rowOff>
    </xdr:from>
    <xdr:to>
      <xdr:col>5</xdr:col>
      <xdr:colOff>1016554</xdr:colOff>
      <xdr:row>28</xdr:row>
      <xdr:rowOff>21487</xdr:rowOff>
    </xdr:to>
    <xdr:sp macro="" textlink="$Q$25">
      <xdr:nvSpPr>
        <xdr:cNvPr id="19" name="TextBox 18">
          <a:extLst>
            <a:ext uri="{FF2B5EF4-FFF2-40B4-BE49-F238E27FC236}">
              <a16:creationId xmlns:a16="http://schemas.microsoft.com/office/drawing/2014/main" id="{00000000-0008-0000-0600-000013000000}"/>
            </a:ext>
          </a:extLst>
        </xdr:cNvPr>
        <xdr:cNvSpPr txBox="1"/>
      </xdr:nvSpPr>
      <xdr:spPr>
        <a:xfrm>
          <a:off x="8161576" y="81692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1D098216-D683-49D5-B0A3-2A14095A2DF4}" type="TxLink">
            <a:rPr lang="en-US" sz="1400" b="0" i="0" u="none" strike="noStrike">
              <a:solidFill>
                <a:srgbClr val="000000"/>
              </a:solidFill>
              <a:latin typeface="Arial" panose="020B0604020202020204" pitchFamily="34" charset="0"/>
              <a:cs typeface="Arial" panose="020B0604020202020204" pitchFamily="34" charset="0"/>
            </a:rPr>
            <a:pPr algn="l"/>
            <a:t> -- </a:t>
          </a:fld>
          <a:endParaRPr lang="en-US" sz="1400" b="0">
            <a:latin typeface="Arial" pitchFamily="34" charset="0"/>
            <a:cs typeface="Arial" pitchFamily="34" charset="0"/>
          </a:endParaRPr>
        </a:p>
      </xdr:txBody>
    </xdr:sp>
    <xdr:clientData/>
  </xdr:twoCellAnchor>
  <xdr:twoCellAnchor>
    <xdr:from>
      <xdr:col>7</xdr:col>
      <xdr:colOff>1055926</xdr:colOff>
      <xdr:row>18</xdr:row>
      <xdr:rowOff>92008</xdr:rowOff>
    </xdr:from>
    <xdr:to>
      <xdr:col>8</xdr:col>
      <xdr:colOff>540304</xdr:colOff>
      <xdr:row>19</xdr:row>
      <xdr:rowOff>173887</xdr:rowOff>
    </xdr:to>
    <xdr:sp macro="" textlink="$O$25">
      <xdr:nvSpPr>
        <xdr:cNvPr id="20" name="TextBox 19">
          <a:extLst>
            <a:ext uri="{FF2B5EF4-FFF2-40B4-BE49-F238E27FC236}">
              <a16:creationId xmlns:a16="http://schemas.microsoft.com/office/drawing/2014/main" id="{00000000-0008-0000-0600-000014000000}"/>
            </a:ext>
          </a:extLst>
        </xdr:cNvPr>
        <xdr:cNvSpPr txBox="1"/>
      </xdr:nvSpPr>
      <xdr:spPr>
        <a:xfrm>
          <a:off x="12657376" y="55784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3552A54-E138-4061-B2D5-E6F8B4E12B98}"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4</xdr:col>
      <xdr:colOff>1494076</xdr:colOff>
      <xdr:row>32</xdr:row>
      <xdr:rowOff>15808</xdr:rowOff>
    </xdr:from>
    <xdr:to>
      <xdr:col>5</xdr:col>
      <xdr:colOff>978454</xdr:colOff>
      <xdr:row>33</xdr:row>
      <xdr:rowOff>97687</xdr:rowOff>
    </xdr:to>
    <xdr:sp macro="" textlink="$O$22">
      <xdr:nvSpPr>
        <xdr:cNvPr id="21" name="TextBox 20">
          <a:extLst>
            <a:ext uri="{FF2B5EF4-FFF2-40B4-BE49-F238E27FC236}">
              <a16:creationId xmlns:a16="http://schemas.microsoft.com/office/drawing/2014/main" id="{00000000-0008-0000-0600-000015000000}"/>
            </a:ext>
          </a:extLst>
        </xdr:cNvPr>
        <xdr:cNvSpPr txBox="1"/>
      </xdr:nvSpPr>
      <xdr:spPr>
        <a:xfrm>
          <a:off x="8123476" y="9769408"/>
          <a:ext cx="1141728" cy="38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E9980869-F07A-4340-922D-8F49CB9B8CC3}" type="TxLink">
            <a:rPr lang="en-US" sz="1400" b="0" i="0" u="none" strike="noStrike">
              <a:solidFill>
                <a:srgbClr val="000000"/>
              </a:solidFill>
              <a:latin typeface="Arial" pitchFamily="34" charset="0"/>
              <a:cs typeface="Arial" pitchFamily="34" charset="0"/>
            </a:rPr>
            <a:pPr algn="l"/>
            <a:t> -- </a:t>
          </a:fld>
          <a:endParaRPr lang="en-US" sz="1400" b="0">
            <a:latin typeface="Arial" pitchFamily="34" charset="0"/>
            <a:cs typeface="Arial" pitchFamily="34" charset="0"/>
          </a:endParaRPr>
        </a:p>
      </xdr:txBody>
    </xdr:sp>
    <xdr:clientData/>
  </xdr:twoCellAnchor>
  <xdr:twoCellAnchor>
    <xdr:from>
      <xdr:col>9</xdr:col>
      <xdr:colOff>172643</xdr:colOff>
      <xdr:row>23</xdr:row>
      <xdr:rowOff>247650</xdr:rowOff>
    </xdr:from>
    <xdr:to>
      <xdr:col>10</xdr:col>
      <xdr:colOff>1238250</xdr:colOff>
      <xdr:row>24</xdr:row>
      <xdr:rowOff>261862</xdr:rowOff>
    </xdr:to>
    <xdr:sp macro="" textlink="$T$2">
      <xdr:nvSpPr>
        <xdr:cNvPr id="22" name="TextBox 21">
          <a:extLst>
            <a:ext uri="{FF2B5EF4-FFF2-40B4-BE49-F238E27FC236}">
              <a16:creationId xmlns:a16="http://schemas.microsoft.com/office/drawing/2014/main" id="{00000000-0008-0000-0600-000016000000}"/>
            </a:ext>
          </a:extLst>
        </xdr:cNvPr>
        <xdr:cNvSpPr txBox="1"/>
      </xdr:nvSpPr>
      <xdr:spPr>
        <a:xfrm>
          <a:off x="15088793" y="7258050"/>
          <a:ext cx="2722957" cy="319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8CF0D605-DCB7-4EC2-A5B5-A19250D08389}" type="TxLink">
            <a:rPr lang="en-US" sz="1600" b="0" i="0" u="none" strike="noStrike">
              <a:solidFill>
                <a:srgbClr val="000000"/>
              </a:solidFill>
              <a:latin typeface="Arial" panose="020B0604020202020204" pitchFamily="34" charset="0"/>
              <a:cs typeface="Arial" panose="020B0604020202020204" pitchFamily="34" charset="0"/>
            </a:rPr>
            <a:pPr algn="l"/>
            <a:t> </a:t>
          </a:fld>
          <a:endParaRPr lang="en-US" sz="1600" b="0">
            <a:latin typeface="Arial" pitchFamily="34" charset="0"/>
            <a:cs typeface="Arial" pitchFamily="34" charset="0"/>
          </a:endParaRPr>
        </a:p>
      </xdr:txBody>
    </xdr:sp>
    <xdr:clientData/>
  </xdr:twoCellAnchor>
  <xdr:twoCellAnchor>
    <xdr:from>
      <xdr:col>1</xdr:col>
      <xdr:colOff>1400040</xdr:colOff>
      <xdr:row>1</xdr:row>
      <xdr:rowOff>209550</xdr:rowOff>
    </xdr:from>
    <xdr:to>
      <xdr:col>2</xdr:col>
      <xdr:colOff>609600</xdr:colOff>
      <xdr:row>2</xdr:row>
      <xdr:rowOff>289401</xdr:rowOff>
    </xdr:to>
    <xdr:sp macro="" textlink="$P$2">
      <xdr:nvSpPr>
        <xdr:cNvPr id="23" name="TextBox 22">
          <a:extLst>
            <a:ext uri="{FF2B5EF4-FFF2-40B4-BE49-F238E27FC236}">
              <a16:creationId xmlns:a16="http://schemas.microsoft.com/office/drawing/2014/main" id="{00000000-0008-0000-0600-000017000000}"/>
            </a:ext>
          </a:extLst>
        </xdr:cNvPr>
        <xdr:cNvSpPr txBox="1"/>
      </xdr:nvSpPr>
      <xdr:spPr>
        <a:xfrm>
          <a:off x="3057390" y="514350"/>
          <a:ext cx="866910" cy="384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39ABB281-18C4-4B63-B531-D67B0FEC993C}" type="TxLink">
            <a:rPr lang="en-US" sz="1400" b="0" i="0" u="none" strike="noStrike">
              <a:solidFill>
                <a:srgbClr val="000000"/>
              </a:solidFill>
              <a:latin typeface="Arial" panose="020B0604020202020204" pitchFamily="34" charset="0"/>
              <a:cs typeface="Arial" panose="020B0604020202020204" pitchFamily="34" charset="0"/>
            </a:rPr>
            <a:pPr algn="ctr"/>
            <a:t> -- </a:t>
          </a:fld>
          <a:endParaRPr lang="en-US" sz="1400" b="0">
            <a:latin typeface="Arial" pitchFamily="34" charset="0"/>
            <a:cs typeface="Arial" pitchFamily="34" charset="0"/>
          </a:endParaRPr>
        </a:p>
      </xdr:txBody>
    </xdr:sp>
    <xdr:clientData/>
  </xdr:twoCellAnchor>
  <xdr:twoCellAnchor>
    <xdr:from>
      <xdr:col>5</xdr:col>
      <xdr:colOff>133350</xdr:colOff>
      <xdr:row>41</xdr:row>
      <xdr:rowOff>209550</xdr:rowOff>
    </xdr:from>
    <xdr:to>
      <xdr:col>6</xdr:col>
      <xdr:colOff>201374</xdr:colOff>
      <xdr:row>43</xdr:row>
      <xdr:rowOff>3242</xdr:rowOff>
    </xdr:to>
    <xdr:sp macro="" textlink="$Q$27">
      <xdr:nvSpPr>
        <xdr:cNvPr id="24" name="TextBox 23">
          <a:extLst>
            <a:ext uri="{FF2B5EF4-FFF2-40B4-BE49-F238E27FC236}">
              <a16:creationId xmlns:a16="http://schemas.microsoft.com/office/drawing/2014/main" id="{00000000-0008-0000-0600-000018000000}"/>
            </a:ext>
          </a:extLst>
        </xdr:cNvPr>
        <xdr:cNvSpPr txBox="1"/>
      </xdr:nvSpPr>
      <xdr:spPr>
        <a:xfrm>
          <a:off x="8420100" y="12706350"/>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D4B930EA-F626-41D8-A6AB-733A4F9D0E21}"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0</xdr:col>
      <xdr:colOff>323850</xdr:colOff>
      <xdr:row>42</xdr:row>
      <xdr:rowOff>38100</xdr:rowOff>
    </xdr:from>
    <xdr:to>
      <xdr:col>4</xdr:col>
      <xdr:colOff>495300</xdr:colOff>
      <xdr:row>44</xdr:row>
      <xdr:rowOff>438150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323850" y="12839700"/>
          <a:ext cx="68008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700" b="1">
              <a:latin typeface="Arial" pitchFamily="34" charset="0"/>
              <a:cs typeface="Arial" pitchFamily="34" charset="0"/>
            </a:rPr>
            <a:t>DO NOT USE  FOR </a:t>
          </a:r>
        </a:p>
        <a:p>
          <a:pPr algn="l"/>
          <a:r>
            <a:rPr lang="en-US" sz="2700" b="1">
              <a:latin typeface="Arial" pitchFamily="34" charset="0"/>
              <a:cs typeface="Arial" pitchFamily="34" charset="0"/>
            </a:rPr>
            <a:t>CONSTRUCTION OR FABRICATION</a:t>
          </a:r>
        </a:p>
      </xdr:txBody>
    </xdr:sp>
    <xdr:clientData/>
  </xdr:twoCellAnchor>
  <xdr:twoCellAnchor>
    <xdr:from>
      <xdr:col>2</xdr:col>
      <xdr:colOff>323850</xdr:colOff>
      <xdr:row>40</xdr:row>
      <xdr:rowOff>38100</xdr:rowOff>
    </xdr:from>
    <xdr:to>
      <xdr:col>3</xdr:col>
      <xdr:colOff>391874</xdr:colOff>
      <xdr:row>41</xdr:row>
      <xdr:rowOff>136592</xdr:rowOff>
    </xdr:to>
    <xdr:sp macro="" textlink="$S$7">
      <xdr:nvSpPr>
        <xdr:cNvPr id="26" name="TextBox 25">
          <a:extLst>
            <a:ext uri="{FF2B5EF4-FFF2-40B4-BE49-F238E27FC236}">
              <a16:creationId xmlns:a16="http://schemas.microsoft.com/office/drawing/2014/main" id="{00000000-0008-0000-0600-00001A000000}"/>
            </a:ext>
          </a:extLst>
        </xdr:cNvPr>
        <xdr:cNvSpPr txBox="1"/>
      </xdr:nvSpPr>
      <xdr:spPr>
        <a:xfrm>
          <a:off x="3638550" y="12230100"/>
          <a:ext cx="1725374" cy="40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06BAC5B8-5ED6-4DC8-AD17-64B85157467E}" type="TxLink">
            <a:rPr lang="en-US" sz="1400" b="0" i="0" u="none" strike="noStrike">
              <a:solidFill>
                <a:srgbClr val="000000"/>
              </a:solidFill>
              <a:latin typeface="Arial" panose="020B0604020202020204" pitchFamily="34" charset="0"/>
              <a:cs typeface="Arial" panose="020B0604020202020204" pitchFamily="34" charset="0"/>
            </a:rPr>
            <a:pPr algn="l"/>
            <a:t> </a:t>
          </a:fld>
          <a:endParaRPr lang="en-US" sz="1400" b="0">
            <a:latin typeface="Arial" pitchFamily="34" charset="0"/>
            <a:cs typeface="Arial" pitchFamily="34" charset="0"/>
          </a:endParaRPr>
        </a:p>
      </xdr:txBody>
    </xdr:sp>
    <xdr:clientData/>
  </xdr:twoCellAnchor>
  <xdr:twoCellAnchor>
    <xdr:from>
      <xdr:col>8</xdr:col>
      <xdr:colOff>899299</xdr:colOff>
      <xdr:row>28</xdr:row>
      <xdr:rowOff>57151</xdr:rowOff>
    </xdr:from>
    <xdr:to>
      <xdr:col>9</xdr:col>
      <xdr:colOff>171450</xdr:colOff>
      <xdr:row>29</xdr:row>
      <xdr:rowOff>95903</xdr:rowOff>
    </xdr:to>
    <xdr:sp macro="" textlink="O28">
      <xdr:nvSpPr>
        <xdr:cNvPr id="28" name="TextBox 27">
          <a:extLst>
            <a:ext uri="{FF2B5EF4-FFF2-40B4-BE49-F238E27FC236}">
              <a16:creationId xmlns:a16="http://schemas.microsoft.com/office/drawing/2014/main" id="{00000000-0008-0000-0600-00001C000000}"/>
            </a:ext>
          </a:extLst>
        </xdr:cNvPr>
        <xdr:cNvSpPr txBox="1"/>
      </xdr:nvSpPr>
      <xdr:spPr>
        <a:xfrm>
          <a:off x="14158099" y="8591551"/>
          <a:ext cx="929501" cy="343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A69B61CC-D1C1-46C7-83FC-5D5676C17037}" type="TxLink">
            <a:rPr lang="en-US" sz="1400" b="0" i="0" u="none" strike="noStrike">
              <a:solidFill>
                <a:srgbClr val="000000"/>
              </a:solidFill>
              <a:latin typeface="Arial" panose="020B0604020202020204" pitchFamily="34" charset="0"/>
              <a:cs typeface="Arial" panose="020B0604020202020204" pitchFamily="34" charset="0"/>
            </a:rPr>
            <a:pPr algn="l"/>
            <a:t> -- </a:t>
          </a:fld>
          <a:endParaRPr lang="en-US" sz="1400" b="0">
            <a:solidFill>
              <a:sysClr val="windowText" lastClr="000000"/>
            </a:solidFill>
            <a:latin typeface="Arial" pitchFamily="34" charset="0"/>
            <a:cs typeface="Arial" pitchFamily="34" charset="0"/>
          </a:endParaRPr>
        </a:p>
      </xdr:txBody>
    </xdr:sp>
    <xdr:clientData/>
  </xdr:twoCellAnchor>
  <xdr:twoCellAnchor>
    <xdr:from>
      <xdr:col>3</xdr:col>
      <xdr:colOff>1428750</xdr:colOff>
      <xdr:row>28</xdr:row>
      <xdr:rowOff>190500</xdr:rowOff>
    </xdr:from>
    <xdr:to>
      <xdr:col>4</xdr:col>
      <xdr:colOff>609600</xdr:colOff>
      <xdr:row>29</xdr:row>
      <xdr:rowOff>250892</xdr:rowOff>
    </xdr:to>
    <xdr:sp macro="" textlink="P27">
      <xdr:nvSpPr>
        <xdr:cNvPr id="31" name="TextBox 30">
          <a:extLst>
            <a:ext uri="{FF2B5EF4-FFF2-40B4-BE49-F238E27FC236}">
              <a16:creationId xmlns:a16="http://schemas.microsoft.com/office/drawing/2014/main" id="{00000000-0008-0000-0600-00001F000000}"/>
            </a:ext>
          </a:extLst>
        </xdr:cNvPr>
        <xdr:cNvSpPr txBox="1"/>
      </xdr:nvSpPr>
      <xdr:spPr>
        <a:xfrm>
          <a:off x="6400800" y="8724900"/>
          <a:ext cx="838200" cy="365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ADD5D1BD-8C83-485E-9376-EDD32A8644D4}" type="TxLink">
            <a:rPr lang="en-US" sz="1400" b="0" i="0" u="none" strike="noStrike">
              <a:solidFill>
                <a:sysClr val="windowText" lastClr="000000"/>
              </a:solidFill>
              <a:latin typeface="Arial" panose="020B0604020202020204" pitchFamily="34" charset="0"/>
              <a:cs typeface="Arial" panose="020B0604020202020204" pitchFamily="34" charset="0"/>
            </a:rPr>
            <a:pPr algn="l"/>
            <a:t> </a:t>
          </a:fld>
          <a:endParaRPr lang="en-US" sz="1400" b="0">
            <a:solidFill>
              <a:sysClr val="windowText" lastClr="000000"/>
            </a:solidFill>
            <a:latin typeface="Arial" pitchFamily="34" charset="0"/>
            <a:cs typeface="Arial" pitchFamily="34" charset="0"/>
          </a:endParaRPr>
        </a:p>
      </xdr:txBody>
    </xdr:sp>
    <xdr:clientData/>
  </xdr:twoCellAnchor>
  <xdr:twoCellAnchor>
    <xdr:from>
      <xdr:col>4</xdr:col>
      <xdr:colOff>95250</xdr:colOff>
      <xdr:row>27</xdr:row>
      <xdr:rowOff>228600</xdr:rowOff>
    </xdr:from>
    <xdr:to>
      <xdr:col>4</xdr:col>
      <xdr:colOff>876300</xdr:colOff>
      <xdr:row>29</xdr:row>
      <xdr:rowOff>60392</xdr:rowOff>
    </xdr:to>
    <xdr:sp macro="" textlink="P26">
      <xdr:nvSpPr>
        <xdr:cNvPr id="32" name="TextBox 31">
          <a:extLst>
            <a:ext uri="{FF2B5EF4-FFF2-40B4-BE49-F238E27FC236}">
              <a16:creationId xmlns:a16="http://schemas.microsoft.com/office/drawing/2014/main" id="{00000000-0008-0000-0600-000020000000}"/>
            </a:ext>
          </a:extLst>
        </xdr:cNvPr>
        <xdr:cNvSpPr txBox="1"/>
      </xdr:nvSpPr>
      <xdr:spPr>
        <a:xfrm>
          <a:off x="6724650" y="8458200"/>
          <a:ext cx="781050" cy="441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5819745F-717E-4B4B-8039-352446157B14}" type="TxLink">
            <a:rPr lang="en-US" sz="1400" b="0" i="0" u="none" strike="noStrike">
              <a:solidFill>
                <a:sysClr val="windowText" lastClr="000000"/>
              </a:solidFill>
              <a:latin typeface="Arial" panose="020B0604020202020204" pitchFamily="34" charset="0"/>
              <a:cs typeface="Arial" panose="020B0604020202020204" pitchFamily="34" charset="0"/>
            </a:rPr>
            <a:pPr algn="l"/>
            <a:t> </a:t>
          </a:fld>
          <a:endParaRPr lang="en-US" sz="1400" b="0">
            <a:solidFill>
              <a:sysClr val="windowText" lastClr="000000"/>
            </a:solidFill>
            <a:latin typeface="Arial" pitchFamily="34" charset="0"/>
            <a:cs typeface="Arial" pitchFamily="34" charset="0"/>
          </a:endParaRPr>
        </a:p>
      </xdr:txBody>
    </xdr:sp>
    <xdr:clientData/>
  </xdr:twoCellAnchor>
  <xdr:twoCellAnchor>
    <xdr:from>
      <xdr:col>3</xdr:col>
      <xdr:colOff>1352550</xdr:colOff>
      <xdr:row>0</xdr:row>
      <xdr:rowOff>19050</xdr:rowOff>
    </xdr:from>
    <xdr:to>
      <xdr:col>9</xdr:col>
      <xdr:colOff>304800</xdr:colOff>
      <xdr:row>4</xdr:row>
      <xdr:rowOff>95250</xdr:rowOff>
    </xdr:to>
    <xdr:sp macro="" textlink="N29">
      <xdr:nvSpPr>
        <xdr:cNvPr id="30" name="TextBox 29">
          <a:extLst>
            <a:ext uri="{FF2B5EF4-FFF2-40B4-BE49-F238E27FC236}">
              <a16:creationId xmlns:a16="http://schemas.microsoft.com/office/drawing/2014/main" id="{00000000-0008-0000-0600-00001E000000}"/>
            </a:ext>
          </a:extLst>
        </xdr:cNvPr>
        <xdr:cNvSpPr txBox="1"/>
      </xdr:nvSpPr>
      <xdr:spPr>
        <a:xfrm>
          <a:off x="6324600" y="19050"/>
          <a:ext cx="88963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966D59CA-4BB1-4505-B802-26B0F7EF09FB}" type="TxLink">
            <a:rPr lang="en-US" sz="2400" b="0" i="0" u="none" strike="noStrike">
              <a:solidFill>
                <a:srgbClr val="FF0000"/>
              </a:solidFill>
              <a:latin typeface="Arial" panose="020B0604020202020204" pitchFamily="34" charset="0"/>
              <a:cs typeface="Arial" panose="020B0604020202020204" pitchFamily="34" charset="0"/>
            </a:rPr>
            <a:pPr algn="l"/>
            <a:t>Hydro International Does Not Recommend Use of This Drawing for the Design Parameters Entered. Use DWG 1-6 Modules (Online) on Tab 3a.</a:t>
          </a:fld>
          <a:endParaRPr lang="en-US" sz="2400" b="1">
            <a:solidFill>
              <a:srgbClr val="FF0000"/>
            </a:solidFill>
            <a:latin typeface="Arial" pitchFamily="34" charset="0"/>
            <a:cs typeface="Arial"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4</xdr:row>
          <xdr:rowOff>161925</xdr:rowOff>
        </xdr:from>
        <xdr:to>
          <xdr:col>0</xdr:col>
          <xdr:colOff>1981200</xdr:colOff>
          <xdr:row>6</xdr:row>
          <xdr:rowOff>114300</xdr:rowOff>
        </xdr:to>
        <xdr:sp macro="" textlink="">
          <xdr:nvSpPr>
            <xdr:cNvPr id="8199" name="CommandButton2"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266700</xdr:colOff>
      <xdr:row>0</xdr:row>
      <xdr:rowOff>19049</xdr:rowOff>
    </xdr:from>
    <xdr:to>
      <xdr:col>10</xdr:col>
      <xdr:colOff>1266825</xdr:colOff>
      <xdr:row>4</xdr:row>
      <xdr:rowOff>142874</xdr:rowOff>
    </xdr:to>
    <xdr:pic>
      <xdr:nvPicPr>
        <xdr:cNvPr id="2" name="Picture 1" descr="Blue Swirl Clear Backgroun.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911" r="34" b="18462"/>
        <a:stretch>
          <a:fillRect/>
        </a:stretch>
      </xdr:blipFill>
      <xdr:spPr bwMode="auto">
        <a:xfrm>
          <a:off x="1800225" y="19049"/>
          <a:ext cx="54006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0</xdr:row>
      <xdr:rowOff>0</xdr:rowOff>
    </xdr:from>
    <xdr:to>
      <xdr:col>4</xdr:col>
      <xdr:colOff>142874</xdr:colOff>
      <xdr:row>5</xdr:row>
      <xdr:rowOff>152401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9524" y="0"/>
          <a:ext cx="2181225" cy="1104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400">
              <a:solidFill>
                <a:schemeClr val="accent5">
                  <a:lumMod val="75000"/>
                </a:schemeClr>
              </a:solidFill>
              <a:latin typeface="Arial" pitchFamily="34" charset="0"/>
              <a:cs typeface="Arial" pitchFamily="34" charset="0"/>
            </a:rPr>
            <a:t>Up-Flo</a:t>
          </a:r>
          <a:r>
            <a:rPr kumimoji="0" lang="en-US" sz="2000" b="0" i="0" u="none" strike="noStrike" kern="0" cap="none" spc="0" normalizeH="0" baseline="30000" noProof="0">
              <a:ln>
                <a:noFill/>
              </a:ln>
              <a:solidFill>
                <a:schemeClr val="accent5">
                  <a:lumMod val="75000"/>
                </a:schemeClr>
              </a:solidFill>
              <a:effectLst/>
              <a:uLnTx/>
              <a:uFillTx/>
              <a:latin typeface="Arial" pitchFamily="34" charset="0"/>
              <a:ea typeface="+mn-ea"/>
              <a:cs typeface="Arial" pitchFamily="34" charset="0"/>
            </a:rPr>
            <a:t>®</a:t>
          </a:r>
          <a:r>
            <a:rPr lang="en-US" sz="2400" baseline="0">
              <a:solidFill>
                <a:schemeClr val="accent5">
                  <a:lumMod val="75000"/>
                </a:schemeClr>
              </a:solidFill>
              <a:latin typeface="Arial" pitchFamily="34" charset="0"/>
              <a:cs typeface="Arial" pitchFamily="34" charset="0"/>
            </a:rPr>
            <a:t> Filter</a:t>
          </a:r>
        </a:p>
        <a:p>
          <a:r>
            <a:rPr lang="en-US" sz="1400" baseline="0">
              <a:solidFill>
                <a:schemeClr val="accent5">
                  <a:lumMod val="75000"/>
                </a:schemeClr>
              </a:solidFill>
              <a:latin typeface="Arial" pitchFamily="34" charset="0"/>
              <a:cs typeface="Arial" pitchFamily="34" charset="0"/>
            </a:rPr>
            <a:t>Sizing Calculator </a:t>
          </a:r>
          <a:r>
            <a:rPr lang="en-US" sz="1000" baseline="0">
              <a:solidFill>
                <a:srgbClr val="FF00FF"/>
              </a:solidFill>
              <a:latin typeface="Arial" pitchFamily="34" charset="0"/>
              <a:cs typeface="Arial" pitchFamily="34" charset="0"/>
            </a:rPr>
            <a:t>v3.0</a:t>
          </a:r>
        </a:p>
      </xdr:txBody>
    </xdr:sp>
    <xdr:clientData/>
  </xdr:twoCellAnchor>
  <xdr:twoCellAnchor editAs="oneCell">
    <xdr:from>
      <xdr:col>10</xdr:col>
      <xdr:colOff>1263757</xdr:colOff>
      <xdr:row>1</xdr:row>
      <xdr:rowOff>28575</xdr:rowOff>
    </xdr:from>
    <xdr:to>
      <xdr:col>10</xdr:col>
      <xdr:colOff>3231880</xdr:colOff>
      <xdr:row>4</xdr:row>
      <xdr:rowOff>152400</xdr:rowOff>
    </xdr:to>
    <xdr:pic>
      <xdr:nvPicPr>
        <xdr:cNvPr id="4" name="Picture 3" descr="Hydro International Logo RGB.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7197832" y="219075"/>
          <a:ext cx="1968123" cy="695325"/>
        </a:xfrm>
        <a:prstGeom prst="rect">
          <a:avLst/>
        </a:prstGeom>
      </xdr:spPr>
    </xdr:pic>
    <xdr:clientData/>
  </xdr:twoCellAnchor>
  <xdr:twoCellAnchor editAs="oneCell">
    <xdr:from>
      <xdr:col>0</xdr:col>
      <xdr:colOff>609601</xdr:colOff>
      <xdr:row>7</xdr:row>
      <xdr:rowOff>190500</xdr:rowOff>
    </xdr:from>
    <xdr:to>
      <xdr:col>3</xdr:col>
      <xdr:colOff>180976</xdr:colOff>
      <xdr:row>14</xdr:row>
      <xdr:rowOff>10224</xdr:rowOff>
    </xdr:to>
    <xdr:pic>
      <xdr:nvPicPr>
        <xdr:cNvPr id="12290" name="Picture 2">
          <a:hlinkClick xmlns:r="http://schemas.openxmlformats.org/officeDocument/2006/relationships" r:id="rId3"/>
          <a:extLst>
            <a:ext uri="{FF2B5EF4-FFF2-40B4-BE49-F238E27FC236}">
              <a16:creationId xmlns:a16="http://schemas.microsoft.com/office/drawing/2014/main" id="{00000000-0008-0000-0A00-000002300000}"/>
            </a:ext>
          </a:extLst>
        </xdr:cNvPr>
        <xdr:cNvPicPr>
          <a:picLocks noChangeAspect="1" noChangeArrowheads="1"/>
        </xdr:cNvPicPr>
      </xdr:nvPicPr>
      <xdr:blipFill>
        <a:blip xmlns:r="http://schemas.openxmlformats.org/officeDocument/2006/relationships" r:embed="rId4" cstate="print"/>
        <a:srcRect l="16881" t="16771" r="50000" b="4127"/>
        <a:stretch>
          <a:fillRect/>
        </a:stretch>
      </xdr:blipFill>
      <xdr:spPr bwMode="auto">
        <a:xfrm>
          <a:off x="609601" y="1562100"/>
          <a:ext cx="1104900" cy="1429449"/>
        </a:xfrm>
        <a:prstGeom prst="rect">
          <a:avLst/>
        </a:prstGeom>
        <a:noFill/>
        <a:ln w="1">
          <a:solidFill>
            <a:schemeClr val="tx1">
              <a:lumMod val="50000"/>
              <a:lumOff val="50000"/>
            </a:schemeClr>
          </a:solidFill>
          <a:miter lim="800000"/>
          <a:headEnd/>
          <a:tailEnd type="none" w="med" len="med"/>
        </a:ln>
        <a:effectLst>
          <a:outerShdw blurRad="50800" dist="50800" dir="3600000" algn="ctr" rotWithShape="0">
            <a:schemeClr val="bg1">
              <a:lumMod val="50000"/>
            </a:scheme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ci25.actonsoftware.com/acton/form/2795/0001:d-0001/1/index.htm" TargetMode="External"/><Relationship Id="rId1" Type="http://schemas.openxmlformats.org/officeDocument/2006/relationships/hyperlink" Target="http://ci25.actonsoftware.com/acton/form/2795/0011:d-0001/1/index.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www.hydro-int.com/UserFiles/downloads/UP-FLO%20SPEC-2015fnl.do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ci25.actonsoftware.com/acton/form/2795/0010:d-0001/1/index.ht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hydro-int.com/UserFiles/downloads/DD_Specification.docx" TargetMode="External"/><Relationship Id="rId6" Type="http://schemas.openxmlformats.org/officeDocument/2006/relationships/image" Target="../media/image14.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D71"/>
  <sheetViews>
    <sheetView showRowColHeaders="0" zoomScaleNormal="100" workbookViewId="0">
      <selection activeCell="A5" sqref="A5:N5"/>
    </sheetView>
  </sheetViews>
  <sheetFormatPr defaultRowHeight="14.25" x14ac:dyDescent="0.2"/>
  <cols>
    <col min="1" max="10" width="9.140625" style="191"/>
    <col min="11" max="11" width="9.140625" style="191" customWidth="1"/>
    <col min="12" max="13" width="9.140625" style="191"/>
    <col min="14" max="14" width="9.5703125" style="191" customWidth="1"/>
    <col min="15" max="30" width="9.140625" style="184"/>
    <col min="31" max="16384" width="9.140625" style="191"/>
  </cols>
  <sheetData>
    <row r="1" spans="1:30" s="153" customFormat="1" x14ac:dyDescent="0.2">
      <c r="A1" s="181"/>
      <c r="B1" s="182"/>
      <c r="C1" s="182"/>
      <c r="D1" s="182"/>
      <c r="E1" s="182"/>
      <c r="F1" s="182"/>
      <c r="G1" s="182"/>
      <c r="H1" s="182"/>
      <c r="I1" s="182"/>
      <c r="J1" s="182"/>
      <c r="K1" s="182"/>
      <c r="L1" s="182"/>
      <c r="M1" s="182"/>
      <c r="N1" s="183"/>
      <c r="O1" s="184"/>
      <c r="P1" s="184"/>
      <c r="Q1" s="184"/>
      <c r="R1" s="184"/>
      <c r="S1" s="184"/>
      <c r="T1" s="184"/>
      <c r="U1" s="184"/>
      <c r="V1" s="184"/>
      <c r="W1" s="184"/>
      <c r="X1" s="184"/>
      <c r="Y1" s="184"/>
      <c r="Z1" s="184"/>
      <c r="AA1" s="184"/>
      <c r="AB1" s="184"/>
      <c r="AC1" s="184"/>
      <c r="AD1" s="184"/>
    </row>
    <row r="2" spans="1:30" s="153" customFormat="1" x14ac:dyDescent="0.2">
      <c r="A2" s="185"/>
      <c r="B2" s="162"/>
      <c r="C2" s="162"/>
      <c r="D2" s="162"/>
      <c r="E2" s="162"/>
      <c r="F2" s="162"/>
      <c r="G2" s="162"/>
      <c r="H2" s="162"/>
      <c r="I2" s="162"/>
      <c r="J2" s="162"/>
      <c r="K2" s="162"/>
      <c r="L2" s="162"/>
      <c r="M2" s="162"/>
      <c r="N2" s="186"/>
      <c r="O2" s="184"/>
      <c r="P2" s="184"/>
      <c r="Q2" s="184"/>
      <c r="R2" s="184"/>
      <c r="S2" s="184"/>
      <c r="T2" s="184"/>
      <c r="U2" s="184"/>
      <c r="V2" s="184"/>
      <c r="W2" s="184"/>
      <c r="X2" s="184"/>
      <c r="Y2" s="184"/>
      <c r="Z2" s="184"/>
      <c r="AA2" s="184"/>
      <c r="AB2" s="184"/>
      <c r="AC2" s="184"/>
      <c r="AD2" s="184"/>
    </row>
    <row r="3" spans="1:30" s="153" customFormat="1" ht="35.25" thickBot="1" x14ac:dyDescent="0.5">
      <c r="A3" s="234" t="s">
        <v>337</v>
      </c>
      <c r="B3" s="187"/>
      <c r="C3" s="187"/>
      <c r="D3" s="187"/>
      <c r="E3" s="187"/>
      <c r="F3" s="187"/>
      <c r="G3" s="187"/>
      <c r="H3" s="187"/>
      <c r="I3" s="187"/>
      <c r="J3" s="187"/>
      <c r="K3" s="187"/>
      <c r="L3" s="187"/>
      <c r="M3" s="187"/>
      <c r="N3" s="188"/>
      <c r="O3" s="184"/>
      <c r="P3" s="184"/>
      <c r="Q3" s="184"/>
      <c r="R3" s="184"/>
      <c r="S3" s="184"/>
      <c r="T3" s="184"/>
      <c r="U3" s="184"/>
      <c r="V3" s="184"/>
      <c r="W3" s="184"/>
      <c r="X3" s="184"/>
      <c r="Y3" s="184"/>
      <c r="Z3" s="184"/>
      <c r="AA3" s="184"/>
      <c r="AB3" s="184"/>
      <c r="AC3" s="184"/>
      <c r="AD3" s="184"/>
    </row>
    <row r="4" spans="1:30" s="153" customFormat="1" ht="27.75" x14ac:dyDescent="0.35">
      <c r="A4" s="200" t="s">
        <v>376</v>
      </c>
      <c r="B4" s="162"/>
      <c r="C4" s="162"/>
      <c r="D4" s="162"/>
      <c r="E4" s="162"/>
      <c r="F4" s="162"/>
      <c r="G4" s="162"/>
      <c r="H4" s="162"/>
      <c r="I4" s="162"/>
      <c r="J4" s="162"/>
      <c r="K4" s="162"/>
      <c r="L4" s="162"/>
      <c r="M4" s="162"/>
      <c r="N4" s="186"/>
      <c r="O4" s="184"/>
      <c r="P4" s="184"/>
      <c r="Q4" s="184"/>
      <c r="R4" s="184"/>
      <c r="S4" s="184"/>
      <c r="T4" s="184"/>
      <c r="U4" s="184"/>
      <c r="V4" s="184"/>
      <c r="W4" s="184"/>
      <c r="X4" s="184"/>
      <c r="Y4" s="184"/>
      <c r="Z4" s="184"/>
      <c r="AA4" s="184"/>
      <c r="AB4" s="184"/>
      <c r="AC4" s="184"/>
      <c r="AD4" s="184"/>
    </row>
    <row r="5" spans="1:30" s="230" customFormat="1" ht="15" customHeight="1" x14ac:dyDescent="0.25">
      <c r="A5" s="379" t="s">
        <v>346</v>
      </c>
      <c r="B5" s="380"/>
      <c r="C5" s="380"/>
      <c r="D5" s="380"/>
      <c r="E5" s="380"/>
      <c r="F5" s="380"/>
      <c r="G5" s="380"/>
      <c r="H5" s="380"/>
      <c r="I5" s="380"/>
      <c r="J5" s="380"/>
      <c r="K5" s="380"/>
      <c r="L5" s="380"/>
      <c r="M5" s="380"/>
      <c r="N5" s="381"/>
      <c r="O5" s="229"/>
      <c r="P5" s="229"/>
      <c r="Q5" s="229"/>
      <c r="R5" s="229"/>
      <c r="S5" s="229"/>
      <c r="T5" s="229"/>
      <c r="U5" s="229"/>
      <c r="V5" s="229"/>
      <c r="W5" s="229"/>
      <c r="X5" s="229"/>
      <c r="Y5" s="229"/>
      <c r="Z5" s="229"/>
      <c r="AA5" s="229"/>
      <c r="AB5" s="229"/>
      <c r="AC5" s="229"/>
      <c r="AD5" s="229"/>
    </row>
    <row r="6" spans="1:30" s="233" customFormat="1" ht="12.75" customHeight="1" x14ac:dyDescent="0.25">
      <c r="A6" s="231"/>
      <c r="B6" s="235"/>
      <c r="C6" s="238"/>
      <c r="D6" s="235"/>
      <c r="E6" s="271"/>
      <c r="F6" s="235"/>
      <c r="H6" s="271"/>
      <c r="I6" s="235"/>
      <c r="J6" s="235"/>
      <c r="K6" s="235"/>
      <c r="L6" s="235"/>
      <c r="M6" s="235"/>
      <c r="N6" s="236"/>
      <c r="O6" s="232"/>
      <c r="P6" s="232"/>
      <c r="Q6" s="232"/>
      <c r="R6" s="232"/>
      <c r="S6" s="232"/>
      <c r="T6" s="232"/>
      <c r="U6" s="232"/>
      <c r="V6" s="232"/>
      <c r="W6" s="232"/>
      <c r="X6" s="232"/>
      <c r="Y6" s="232"/>
      <c r="Z6" s="232"/>
      <c r="AA6" s="232"/>
      <c r="AB6" s="232"/>
      <c r="AC6" s="232"/>
      <c r="AD6" s="232"/>
    </row>
    <row r="7" spans="1:30" s="190" customFormat="1" ht="30" customHeight="1" x14ac:dyDescent="0.25">
      <c r="A7" s="376" t="s">
        <v>129</v>
      </c>
      <c r="B7" s="377"/>
      <c r="C7" s="377"/>
      <c r="D7" s="377"/>
      <c r="E7" s="377"/>
      <c r="F7" s="377"/>
      <c r="G7" s="377"/>
      <c r="H7" s="377"/>
      <c r="I7" s="377"/>
      <c r="J7" s="377"/>
      <c r="K7" s="377"/>
      <c r="L7" s="377"/>
      <c r="M7" s="377"/>
      <c r="N7" s="378"/>
      <c r="O7" s="189"/>
      <c r="P7" s="189"/>
      <c r="Q7" s="189"/>
      <c r="R7" s="189"/>
      <c r="S7" s="189"/>
      <c r="T7" s="189"/>
      <c r="U7" s="189"/>
      <c r="V7" s="189"/>
      <c r="W7" s="189"/>
      <c r="X7" s="189"/>
      <c r="Y7" s="189"/>
      <c r="Z7" s="189"/>
      <c r="AA7" s="189"/>
      <c r="AB7" s="189"/>
      <c r="AC7" s="189"/>
      <c r="AD7" s="189"/>
    </row>
    <row r="8" spans="1:30" s="197" customFormat="1" ht="18.75" customHeight="1" x14ac:dyDescent="0.2">
      <c r="A8" s="276" t="s">
        <v>239</v>
      </c>
      <c r="B8" s="273"/>
      <c r="C8" s="273"/>
      <c r="D8" s="273"/>
      <c r="E8" s="273"/>
      <c r="F8" s="273"/>
      <c r="G8" s="273"/>
      <c r="H8" s="273"/>
      <c r="I8" s="273"/>
      <c r="J8" s="273"/>
      <c r="K8" s="273"/>
      <c r="L8" s="273"/>
      <c r="M8" s="273"/>
      <c r="N8" s="274"/>
      <c r="O8" s="196"/>
      <c r="P8" s="196"/>
      <c r="Q8" s="196"/>
      <c r="R8" s="196"/>
      <c r="S8" s="196"/>
      <c r="T8" s="196"/>
      <c r="U8" s="196"/>
      <c r="V8" s="196"/>
      <c r="W8" s="196"/>
      <c r="X8" s="196"/>
      <c r="Y8" s="196"/>
      <c r="Z8" s="196"/>
      <c r="AA8" s="196"/>
      <c r="AB8" s="196"/>
      <c r="AC8" s="196"/>
      <c r="AD8" s="196"/>
    </row>
    <row r="9" spans="1:30" s="197" customFormat="1" ht="18.75" customHeight="1" x14ac:dyDescent="0.2">
      <c r="A9" s="272" t="s">
        <v>242</v>
      </c>
      <c r="B9" s="273"/>
      <c r="C9" s="273"/>
      <c r="D9" s="273"/>
      <c r="E9" s="273"/>
      <c r="F9" s="273"/>
      <c r="G9" s="273"/>
      <c r="H9" s="273"/>
      <c r="I9" s="273"/>
      <c r="J9" s="273"/>
      <c r="K9" s="273"/>
      <c r="L9" s="273"/>
      <c r="M9" s="273"/>
      <c r="N9" s="274"/>
      <c r="O9" s="196"/>
      <c r="P9" s="196"/>
      <c r="Q9" s="196"/>
      <c r="R9" s="196"/>
      <c r="S9" s="196"/>
      <c r="T9" s="196"/>
      <c r="U9" s="196"/>
      <c r="V9" s="196"/>
      <c r="W9" s="196"/>
      <c r="X9" s="196"/>
      <c r="Y9" s="196"/>
      <c r="Z9" s="196"/>
      <c r="AA9" s="196"/>
      <c r="AB9" s="196"/>
      <c r="AC9" s="196"/>
      <c r="AD9" s="196"/>
    </row>
    <row r="10" spans="1:30" s="199" customFormat="1" ht="13.5" customHeight="1" x14ac:dyDescent="0.2">
      <c r="A10" s="272" t="s">
        <v>243</v>
      </c>
      <c r="B10" s="277"/>
      <c r="C10" s="277"/>
      <c r="D10" s="277"/>
      <c r="E10" s="277"/>
      <c r="F10" s="277"/>
      <c r="G10" s="277"/>
      <c r="H10" s="277"/>
      <c r="I10" s="277"/>
      <c r="J10" s="277"/>
      <c r="K10" s="277"/>
      <c r="L10" s="277"/>
      <c r="M10" s="277"/>
      <c r="N10" s="278"/>
      <c r="O10" s="198"/>
      <c r="P10" s="198"/>
      <c r="Q10" s="198"/>
      <c r="R10" s="198"/>
      <c r="S10" s="198"/>
      <c r="T10" s="198"/>
      <c r="U10" s="198"/>
      <c r="V10" s="198"/>
      <c r="W10" s="198"/>
      <c r="X10" s="198"/>
      <c r="Y10" s="198"/>
      <c r="Z10" s="198"/>
      <c r="AA10" s="198"/>
      <c r="AB10" s="198"/>
      <c r="AC10" s="198"/>
      <c r="AD10" s="198"/>
    </row>
    <row r="11" spans="1:30" s="199" customFormat="1" ht="12.75" customHeight="1" x14ac:dyDescent="0.2">
      <c r="A11" s="272" t="s">
        <v>244</v>
      </c>
      <c r="B11" s="277"/>
      <c r="C11" s="277"/>
      <c r="D11" s="277"/>
      <c r="E11" s="277"/>
      <c r="F11" s="277"/>
      <c r="G11" s="277"/>
      <c r="H11" s="277"/>
      <c r="I11" s="277"/>
      <c r="J11" s="277"/>
      <c r="K11" s="277"/>
      <c r="L11" s="277"/>
      <c r="M11" s="277"/>
      <c r="N11" s="278"/>
      <c r="O11" s="198"/>
      <c r="P11" s="198"/>
      <c r="Q11" s="198"/>
      <c r="R11" s="198"/>
      <c r="S11" s="198"/>
      <c r="T11" s="198"/>
      <c r="U11" s="198"/>
      <c r="V11" s="198"/>
      <c r="W11" s="198"/>
      <c r="X11" s="198"/>
      <c r="Y11" s="198"/>
      <c r="Z11" s="198"/>
      <c r="AA11" s="198"/>
      <c r="AB11" s="198"/>
      <c r="AC11" s="198"/>
      <c r="AD11" s="198"/>
    </row>
    <row r="12" spans="1:30" s="197" customFormat="1" ht="12.75" customHeight="1" x14ac:dyDescent="0.2">
      <c r="A12" s="272" t="s">
        <v>245</v>
      </c>
      <c r="B12" s="273"/>
      <c r="C12" s="273"/>
      <c r="D12" s="273"/>
      <c r="E12" s="273"/>
      <c r="F12" s="273"/>
      <c r="G12" s="273"/>
      <c r="H12" s="273"/>
      <c r="I12" s="273"/>
      <c r="J12" s="273"/>
      <c r="K12" s="273"/>
      <c r="L12" s="273"/>
      <c r="M12" s="273"/>
      <c r="N12" s="274"/>
      <c r="O12" s="196"/>
      <c r="P12" s="196"/>
      <c r="Q12" s="196"/>
      <c r="R12" s="196"/>
      <c r="S12" s="196"/>
      <c r="T12" s="196"/>
      <c r="U12" s="196"/>
      <c r="V12" s="196"/>
      <c r="W12" s="196"/>
      <c r="X12" s="196"/>
      <c r="Y12" s="196"/>
      <c r="Z12" s="196"/>
      <c r="AA12" s="196"/>
      <c r="AB12" s="196"/>
      <c r="AC12" s="196"/>
      <c r="AD12" s="196"/>
    </row>
    <row r="13" spans="1:30" s="197" customFormat="1" ht="12.75" customHeight="1" x14ac:dyDescent="0.2">
      <c r="A13" s="272"/>
      <c r="B13" s="273"/>
      <c r="C13" s="273"/>
      <c r="D13" s="273"/>
      <c r="E13" s="273"/>
      <c r="F13" s="273"/>
      <c r="G13" s="273"/>
      <c r="H13" s="273"/>
      <c r="I13" s="273"/>
      <c r="J13" s="273"/>
      <c r="K13" s="273"/>
      <c r="L13" s="273"/>
      <c r="M13" s="273"/>
      <c r="N13" s="274"/>
      <c r="O13" s="196"/>
      <c r="P13" s="196"/>
      <c r="Q13" s="196"/>
      <c r="R13" s="196"/>
      <c r="S13" s="196"/>
      <c r="T13" s="196"/>
      <c r="U13" s="196"/>
      <c r="V13" s="196"/>
      <c r="W13" s="196"/>
      <c r="X13" s="196"/>
      <c r="Y13" s="196"/>
      <c r="Z13" s="196"/>
      <c r="AA13" s="196"/>
      <c r="AB13" s="196"/>
      <c r="AC13" s="196"/>
      <c r="AD13" s="196"/>
    </row>
    <row r="14" spans="1:30" s="197" customFormat="1" ht="12.75" customHeight="1" x14ac:dyDescent="0.2">
      <c r="A14" s="272"/>
      <c r="B14" s="273"/>
      <c r="C14" s="273"/>
      <c r="D14" s="273"/>
      <c r="E14" s="273"/>
      <c r="F14" s="273"/>
      <c r="G14" s="273"/>
      <c r="H14" s="273"/>
      <c r="I14" s="273"/>
      <c r="J14" s="273"/>
      <c r="K14" s="273"/>
      <c r="L14" s="273"/>
      <c r="M14" s="273"/>
      <c r="N14" s="274"/>
      <c r="O14" s="196"/>
      <c r="P14" s="196"/>
      <c r="Q14" s="196"/>
      <c r="R14" s="196"/>
      <c r="S14" s="196"/>
      <c r="T14" s="196"/>
      <c r="U14" s="196"/>
      <c r="V14" s="196"/>
      <c r="W14" s="196"/>
      <c r="X14" s="196"/>
      <c r="Y14" s="196"/>
      <c r="Z14" s="196"/>
      <c r="AA14" s="196"/>
      <c r="AB14" s="196"/>
      <c r="AC14" s="196"/>
      <c r="AD14" s="196"/>
    </row>
    <row r="15" spans="1:30" s="197" customFormat="1" ht="12.75" customHeight="1" x14ac:dyDescent="0.2">
      <c r="A15" s="272" t="s">
        <v>246</v>
      </c>
      <c r="B15" s="273"/>
      <c r="C15" s="273"/>
      <c r="D15" s="273"/>
      <c r="E15" s="273"/>
      <c r="F15" s="273"/>
      <c r="G15" s="273"/>
      <c r="H15" s="273"/>
      <c r="I15" s="273"/>
      <c r="J15" s="273"/>
      <c r="K15" s="273"/>
      <c r="L15" s="273"/>
      <c r="M15" s="273"/>
      <c r="N15" s="274"/>
      <c r="O15" s="196"/>
      <c r="P15" s="196"/>
      <c r="Q15" s="196"/>
      <c r="R15" s="196"/>
      <c r="S15" s="196"/>
      <c r="T15" s="196"/>
      <c r="U15" s="196"/>
      <c r="V15" s="196"/>
      <c r="W15" s="196"/>
      <c r="X15" s="196"/>
      <c r="Y15" s="196"/>
      <c r="Z15" s="196"/>
      <c r="AA15" s="196"/>
      <c r="AB15" s="196"/>
      <c r="AC15" s="196"/>
      <c r="AD15" s="196"/>
    </row>
    <row r="16" spans="1:30" ht="12.75" customHeight="1" x14ac:dyDescent="0.2">
      <c r="A16" s="185"/>
      <c r="B16" s="162"/>
      <c r="C16" s="162"/>
      <c r="D16" s="162"/>
      <c r="E16" s="162"/>
      <c r="F16" s="162"/>
      <c r="G16" s="162"/>
      <c r="H16" s="162"/>
      <c r="I16" s="162"/>
      <c r="J16" s="162"/>
      <c r="K16" s="162"/>
      <c r="L16" s="162"/>
      <c r="M16" s="162"/>
      <c r="N16" s="186"/>
    </row>
    <row r="17" spans="1:30" ht="12.75" customHeight="1" x14ac:dyDescent="0.2">
      <c r="A17" s="185"/>
      <c r="B17" s="162"/>
      <c r="C17" s="162"/>
      <c r="D17" s="162"/>
      <c r="E17" s="162"/>
      <c r="F17" s="162"/>
      <c r="G17" s="162"/>
      <c r="H17" s="162"/>
      <c r="I17" s="162"/>
      <c r="J17" s="162"/>
      <c r="K17" s="162"/>
      <c r="L17" s="162"/>
      <c r="M17" s="162"/>
      <c r="N17" s="186"/>
    </row>
    <row r="18" spans="1:30" s="190" customFormat="1" ht="18" x14ac:dyDescent="0.25">
      <c r="A18" s="376" t="s">
        <v>249</v>
      </c>
      <c r="B18" s="377"/>
      <c r="C18" s="377"/>
      <c r="D18" s="377"/>
      <c r="E18" s="377"/>
      <c r="F18" s="377"/>
      <c r="G18" s="377"/>
      <c r="H18" s="377"/>
      <c r="I18" s="377"/>
      <c r="J18" s="377"/>
      <c r="K18" s="377"/>
      <c r="L18" s="377"/>
      <c r="M18" s="377"/>
      <c r="N18" s="378"/>
      <c r="O18" s="189"/>
      <c r="P18" s="189"/>
      <c r="Q18" s="189"/>
      <c r="R18" s="189"/>
      <c r="S18" s="189"/>
      <c r="T18" s="189"/>
      <c r="U18" s="189"/>
      <c r="V18" s="189"/>
      <c r="W18" s="189"/>
      <c r="X18" s="189"/>
      <c r="Y18" s="189"/>
      <c r="Z18" s="189"/>
      <c r="AA18" s="189"/>
      <c r="AB18" s="189"/>
      <c r="AC18" s="189"/>
      <c r="AD18" s="189"/>
    </row>
    <row r="19" spans="1:30" s="197" customFormat="1" ht="19.5" customHeight="1" x14ac:dyDescent="0.2">
      <c r="A19" s="272" t="s">
        <v>336</v>
      </c>
      <c r="B19" s="273"/>
      <c r="C19" s="273"/>
      <c r="D19" s="273"/>
      <c r="E19" s="273"/>
      <c r="F19" s="273"/>
      <c r="G19" s="273"/>
      <c r="H19" s="273"/>
      <c r="I19" s="273"/>
      <c r="J19" s="273"/>
      <c r="K19" s="273"/>
      <c r="L19" s="273"/>
      <c r="M19" s="273"/>
      <c r="N19" s="274"/>
      <c r="O19" s="196"/>
      <c r="P19" s="196"/>
      <c r="Q19" s="196"/>
      <c r="R19" s="196"/>
      <c r="S19" s="196"/>
      <c r="T19" s="196"/>
      <c r="U19" s="196"/>
      <c r="V19" s="196"/>
      <c r="W19" s="196"/>
      <c r="X19" s="196"/>
      <c r="Y19" s="196"/>
      <c r="Z19" s="196"/>
      <c r="AA19" s="196"/>
      <c r="AB19" s="196"/>
      <c r="AC19" s="196"/>
      <c r="AD19" s="196"/>
    </row>
    <row r="20" spans="1:30" s="197" customFormat="1" ht="12.75" x14ac:dyDescent="0.2">
      <c r="A20" s="272"/>
      <c r="B20" s="273" t="s">
        <v>126</v>
      </c>
      <c r="C20" s="273"/>
      <c r="D20" s="273"/>
      <c r="E20" s="273"/>
      <c r="F20" s="273"/>
      <c r="G20" s="273"/>
      <c r="H20" s="273"/>
      <c r="I20" s="273"/>
      <c r="J20" s="273"/>
      <c r="K20" s="273"/>
      <c r="L20" s="273"/>
      <c r="M20" s="273"/>
      <c r="N20" s="274"/>
      <c r="O20" s="196"/>
      <c r="P20" s="196"/>
      <c r="Q20" s="196"/>
      <c r="R20" s="196"/>
      <c r="S20" s="196"/>
      <c r="T20" s="196"/>
      <c r="U20" s="196"/>
      <c r="V20" s="196"/>
      <c r="W20" s="196"/>
      <c r="X20" s="196"/>
      <c r="Y20" s="196"/>
      <c r="Z20" s="196"/>
      <c r="AA20" s="196"/>
      <c r="AB20" s="196"/>
      <c r="AC20" s="196"/>
      <c r="AD20" s="196"/>
    </row>
    <row r="21" spans="1:30" s="197" customFormat="1" ht="12.75" x14ac:dyDescent="0.2">
      <c r="A21" s="272"/>
      <c r="B21" s="273" t="s">
        <v>128</v>
      </c>
      <c r="C21" s="273"/>
      <c r="D21" s="273"/>
      <c r="E21" s="273"/>
      <c r="F21" s="273"/>
      <c r="G21" s="273"/>
      <c r="H21" s="273"/>
      <c r="I21" s="273"/>
      <c r="J21" s="273"/>
      <c r="K21" s="273"/>
      <c r="L21" s="273"/>
      <c r="M21" s="273"/>
      <c r="N21" s="274"/>
      <c r="O21" s="196"/>
      <c r="P21" s="196"/>
      <c r="Q21" s="196"/>
      <c r="R21" s="196"/>
      <c r="S21" s="196"/>
      <c r="T21" s="196"/>
      <c r="U21" s="196"/>
      <c r="V21" s="196"/>
      <c r="W21" s="196"/>
      <c r="X21" s="196"/>
      <c r="Y21" s="196"/>
      <c r="Z21" s="196"/>
      <c r="AA21" s="196"/>
      <c r="AB21" s="196"/>
      <c r="AC21" s="196"/>
      <c r="AD21" s="196"/>
    </row>
    <row r="22" spans="1:30" s="197" customFormat="1" ht="12.75" x14ac:dyDescent="0.2">
      <c r="A22" s="272"/>
      <c r="B22" s="273" t="s">
        <v>127</v>
      </c>
      <c r="C22" s="273"/>
      <c r="D22" s="273"/>
      <c r="E22" s="273"/>
      <c r="F22" s="273"/>
      <c r="G22" s="273"/>
      <c r="H22" s="273"/>
      <c r="I22" s="273"/>
      <c r="J22" s="273"/>
      <c r="K22" s="273"/>
      <c r="L22" s="273"/>
      <c r="M22" s="273"/>
      <c r="N22" s="274"/>
      <c r="O22" s="196"/>
      <c r="P22" s="196"/>
      <c r="Q22" s="196"/>
      <c r="R22" s="196"/>
      <c r="S22" s="196"/>
      <c r="T22" s="196"/>
      <c r="U22" s="196"/>
      <c r="V22" s="196"/>
      <c r="W22" s="196"/>
      <c r="X22" s="196"/>
      <c r="Y22" s="196"/>
      <c r="Z22" s="196"/>
      <c r="AA22" s="196"/>
      <c r="AB22" s="196"/>
      <c r="AC22" s="196"/>
      <c r="AD22" s="196"/>
    </row>
    <row r="23" spans="1:30" s="197" customFormat="1" ht="12.75" x14ac:dyDescent="0.2">
      <c r="A23" s="272"/>
      <c r="B23" s="273" t="s">
        <v>247</v>
      </c>
      <c r="C23" s="273"/>
      <c r="D23" s="273"/>
      <c r="E23" s="273"/>
      <c r="F23" s="273"/>
      <c r="G23" s="273"/>
      <c r="H23" s="273"/>
      <c r="I23" s="273"/>
      <c r="J23" s="273"/>
      <c r="K23" s="273"/>
      <c r="L23" s="273"/>
      <c r="M23" s="273"/>
      <c r="N23" s="274"/>
      <c r="O23" s="196"/>
      <c r="P23" s="196"/>
      <c r="Q23" s="196"/>
      <c r="R23" s="196"/>
      <c r="S23" s="196"/>
      <c r="T23" s="196"/>
      <c r="U23" s="196"/>
      <c r="V23" s="196"/>
      <c r="W23" s="196"/>
      <c r="X23" s="196"/>
      <c r="Y23" s="196"/>
      <c r="Z23" s="196"/>
      <c r="AA23" s="196"/>
      <c r="AB23" s="196"/>
      <c r="AC23" s="196"/>
      <c r="AD23" s="196"/>
    </row>
    <row r="24" spans="1:30" s="197" customFormat="1" ht="12.75" x14ac:dyDescent="0.2">
      <c r="A24" s="272"/>
      <c r="B24" s="273" t="s">
        <v>248</v>
      </c>
      <c r="C24" s="273"/>
      <c r="D24" s="273"/>
      <c r="E24" s="273"/>
      <c r="F24" s="273"/>
      <c r="G24" s="273"/>
      <c r="H24" s="273"/>
      <c r="I24" s="273"/>
      <c r="J24" s="273"/>
      <c r="K24" s="273"/>
      <c r="L24" s="273"/>
      <c r="M24" s="273"/>
      <c r="N24" s="274"/>
      <c r="O24" s="196"/>
      <c r="P24" s="196"/>
      <c r="Q24" s="196"/>
      <c r="R24" s="196"/>
      <c r="S24" s="196"/>
      <c r="T24" s="196"/>
      <c r="U24" s="196"/>
      <c r="V24" s="196"/>
      <c r="W24" s="196"/>
      <c r="X24" s="196"/>
      <c r="Y24" s="196"/>
      <c r="Z24" s="196"/>
      <c r="AA24" s="196"/>
      <c r="AB24" s="196"/>
      <c r="AC24" s="196"/>
      <c r="AD24" s="196"/>
    </row>
    <row r="25" spans="1:30" s="197" customFormat="1" ht="12.75" x14ac:dyDescent="0.2">
      <c r="A25" s="272"/>
      <c r="B25" s="273"/>
      <c r="C25" s="273"/>
      <c r="D25" s="273"/>
      <c r="E25" s="273"/>
      <c r="F25" s="273"/>
      <c r="G25" s="273"/>
      <c r="H25" s="273"/>
      <c r="I25" s="273"/>
      <c r="J25" s="273"/>
      <c r="K25" s="273"/>
      <c r="L25" s="273"/>
      <c r="M25" s="273"/>
      <c r="N25" s="274"/>
      <c r="O25" s="196"/>
      <c r="P25" s="196"/>
      <c r="Q25" s="196"/>
      <c r="R25" s="196"/>
      <c r="S25" s="196"/>
      <c r="T25" s="196"/>
      <c r="U25" s="196"/>
      <c r="V25" s="196"/>
      <c r="W25" s="196"/>
      <c r="X25" s="196"/>
      <c r="Y25" s="196"/>
      <c r="Z25" s="196"/>
      <c r="AA25" s="196"/>
      <c r="AB25" s="196"/>
      <c r="AC25" s="196"/>
      <c r="AD25" s="196"/>
    </row>
    <row r="26" spans="1:30" s="197" customFormat="1" ht="12.75" x14ac:dyDescent="0.2">
      <c r="A26" s="373" t="s">
        <v>340</v>
      </c>
      <c r="B26" s="374"/>
      <c r="C26" s="374"/>
      <c r="D26" s="374"/>
      <c r="E26" s="374"/>
      <c r="F26" s="374"/>
      <c r="G26" s="374"/>
      <c r="H26" s="374"/>
      <c r="I26" s="374"/>
      <c r="J26" s="374"/>
      <c r="K26" s="374"/>
      <c r="L26" s="374"/>
      <c r="M26" s="374"/>
      <c r="N26" s="375"/>
      <c r="O26" s="196"/>
      <c r="P26" s="196"/>
      <c r="Q26" s="196"/>
      <c r="R26" s="196"/>
      <c r="S26" s="196"/>
      <c r="T26" s="196"/>
      <c r="U26" s="196"/>
      <c r="V26" s="196"/>
      <c r="W26" s="196"/>
      <c r="X26" s="196"/>
      <c r="Y26" s="196"/>
      <c r="Z26" s="196"/>
      <c r="AA26" s="196"/>
      <c r="AB26" s="196"/>
      <c r="AC26" s="196"/>
      <c r="AD26" s="196"/>
    </row>
    <row r="27" spans="1:30" s="197" customFormat="1" ht="12.75" x14ac:dyDescent="0.2">
      <c r="A27" s="373"/>
      <c r="B27" s="374"/>
      <c r="C27" s="374"/>
      <c r="D27" s="374"/>
      <c r="E27" s="374"/>
      <c r="F27" s="374"/>
      <c r="G27" s="374"/>
      <c r="H27" s="374"/>
      <c r="I27" s="374"/>
      <c r="J27" s="374"/>
      <c r="K27" s="374"/>
      <c r="L27" s="374"/>
      <c r="M27" s="374"/>
      <c r="N27" s="375"/>
      <c r="O27" s="196"/>
      <c r="P27" s="196"/>
      <c r="Q27" s="196"/>
      <c r="R27" s="196"/>
      <c r="S27" s="196"/>
      <c r="T27" s="196"/>
      <c r="U27" s="196"/>
      <c r="V27" s="196"/>
      <c r="W27" s="196"/>
      <c r="X27" s="196"/>
      <c r="Y27" s="196"/>
      <c r="Z27" s="196"/>
      <c r="AA27" s="196"/>
      <c r="AB27" s="196"/>
      <c r="AC27" s="196"/>
      <c r="AD27" s="196"/>
    </row>
    <row r="28" spans="1:30" s="197" customFormat="1" ht="12.75" x14ac:dyDescent="0.2">
      <c r="A28" s="272"/>
      <c r="B28" s="273"/>
      <c r="C28" s="273"/>
      <c r="D28" s="273"/>
      <c r="E28" s="273"/>
      <c r="F28" s="273"/>
      <c r="G28" s="273"/>
      <c r="H28" s="273"/>
      <c r="I28" s="273"/>
      <c r="J28" s="273"/>
      <c r="K28" s="273"/>
      <c r="L28" s="273"/>
      <c r="M28" s="273"/>
      <c r="N28" s="274"/>
      <c r="O28" s="196"/>
      <c r="P28" s="196"/>
      <c r="Q28" s="196"/>
      <c r="R28" s="196"/>
      <c r="S28" s="196"/>
      <c r="T28" s="196"/>
      <c r="U28" s="196"/>
      <c r="V28" s="196"/>
      <c r="W28" s="196"/>
      <c r="X28" s="196"/>
      <c r="Y28" s="196"/>
      <c r="Z28" s="196"/>
      <c r="AA28" s="196"/>
      <c r="AB28" s="196"/>
      <c r="AC28" s="196"/>
      <c r="AD28" s="196"/>
    </row>
    <row r="29" spans="1:30" s="197" customFormat="1" ht="12.75" x14ac:dyDescent="0.2">
      <c r="A29" s="272" t="s">
        <v>250</v>
      </c>
      <c r="B29" s="273"/>
      <c r="C29" s="273"/>
      <c r="D29" s="273"/>
      <c r="E29" s="273"/>
      <c r="F29" s="273"/>
      <c r="G29" s="273"/>
      <c r="H29" s="273"/>
      <c r="I29" s="273"/>
      <c r="J29" s="273"/>
      <c r="K29" s="273"/>
      <c r="L29" s="273"/>
      <c r="M29" s="273"/>
      <c r="N29" s="274"/>
      <c r="O29" s="196"/>
      <c r="P29" s="196"/>
      <c r="Q29" s="196"/>
      <c r="R29" s="196"/>
      <c r="S29" s="196"/>
      <c r="T29" s="196"/>
      <c r="U29" s="196"/>
      <c r="V29" s="196"/>
      <c r="W29" s="196"/>
      <c r="X29" s="196"/>
      <c r="Y29" s="196"/>
      <c r="Z29" s="196"/>
      <c r="AA29" s="196"/>
      <c r="AB29" s="196"/>
      <c r="AC29" s="196"/>
      <c r="AD29" s="196"/>
    </row>
    <row r="30" spans="1:30" s="197" customFormat="1" ht="12.75" x14ac:dyDescent="0.2">
      <c r="A30" s="272" t="s">
        <v>233</v>
      </c>
      <c r="B30" s="273"/>
      <c r="C30" s="273"/>
      <c r="D30" s="273"/>
      <c r="E30" s="273"/>
      <c r="F30" s="273"/>
      <c r="G30" s="273"/>
      <c r="H30" s="273"/>
      <c r="I30" s="273"/>
      <c r="J30" s="273"/>
      <c r="K30" s="273"/>
      <c r="L30" s="273"/>
      <c r="M30" s="273"/>
      <c r="N30" s="274"/>
      <c r="O30" s="196"/>
      <c r="P30" s="196"/>
      <c r="Q30" s="196"/>
      <c r="R30" s="196"/>
      <c r="S30" s="196"/>
      <c r="T30" s="196"/>
      <c r="U30" s="196"/>
      <c r="V30" s="196"/>
      <c r="W30" s="196"/>
      <c r="X30" s="196"/>
      <c r="Y30" s="196"/>
      <c r="Z30" s="196"/>
      <c r="AA30" s="196"/>
      <c r="AB30" s="196"/>
      <c r="AC30" s="196"/>
      <c r="AD30" s="196"/>
    </row>
    <row r="31" spans="1:30" s="197" customFormat="1" ht="12.75" x14ac:dyDescent="0.2">
      <c r="A31" s="272"/>
      <c r="B31" s="275" t="s">
        <v>234</v>
      </c>
      <c r="C31" s="273"/>
      <c r="D31" s="273"/>
      <c r="E31" s="273"/>
      <c r="F31" s="273"/>
      <c r="G31" s="273"/>
      <c r="H31" s="273"/>
      <c r="I31" s="273"/>
      <c r="J31" s="273"/>
      <c r="K31" s="273"/>
      <c r="L31" s="273"/>
      <c r="M31" s="273"/>
      <c r="N31" s="274"/>
      <c r="O31" s="196"/>
      <c r="P31" s="196"/>
      <c r="Q31" s="196"/>
      <c r="R31" s="196"/>
      <c r="S31" s="196"/>
      <c r="T31" s="196"/>
      <c r="U31" s="196"/>
      <c r="V31" s="196"/>
      <c r="W31" s="196"/>
      <c r="X31" s="196"/>
      <c r="Y31" s="196"/>
      <c r="Z31" s="196"/>
      <c r="AA31" s="196"/>
      <c r="AB31" s="196"/>
      <c r="AC31" s="196"/>
      <c r="AD31" s="196"/>
    </row>
    <row r="32" spans="1:30" s="197" customFormat="1" ht="12.75" x14ac:dyDescent="0.2">
      <c r="A32" s="193"/>
      <c r="B32" s="194"/>
      <c r="C32" s="194"/>
      <c r="D32" s="194"/>
      <c r="E32" s="194"/>
      <c r="F32" s="194"/>
      <c r="G32" s="194"/>
      <c r="H32" s="194"/>
      <c r="I32" s="194"/>
      <c r="J32" s="194"/>
      <c r="K32" s="194"/>
      <c r="L32" s="194"/>
      <c r="M32" s="194"/>
      <c r="N32" s="195"/>
      <c r="O32" s="196"/>
      <c r="P32" s="196"/>
      <c r="Q32" s="196"/>
      <c r="R32" s="196"/>
      <c r="S32" s="196"/>
      <c r="T32" s="196"/>
      <c r="U32" s="196"/>
      <c r="V32" s="196"/>
      <c r="W32" s="196"/>
      <c r="X32" s="196"/>
      <c r="Y32" s="196"/>
      <c r="Z32" s="196"/>
      <c r="AA32" s="196"/>
      <c r="AB32" s="196"/>
      <c r="AC32" s="196"/>
      <c r="AD32" s="196"/>
    </row>
    <row r="33" spans="1:30" s="197" customFormat="1" ht="12.75" x14ac:dyDescent="0.2">
      <c r="A33" s="272" t="s">
        <v>339</v>
      </c>
      <c r="B33" s="273"/>
      <c r="C33" s="273"/>
      <c r="D33" s="273"/>
      <c r="E33" s="273"/>
      <c r="G33" s="194"/>
      <c r="H33" s="194"/>
      <c r="I33" s="194"/>
      <c r="J33" s="194"/>
      <c r="K33" s="194"/>
      <c r="L33" s="194"/>
      <c r="M33" s="194"/>
      <c r="N33" s="195"/>
      <c r="O33" s="196"/>
      <c r="P33" s="196"/>
      <c r="Q33" s="196"/>
      <c r="R33" s="196"/>
      <c r="S33" s="196"/>
      <c r="T33" s="196"/>
      <c r="U33" s="196"/>
      <c r="V33" s="196"/>
      <c r="W33" s="196"/>
      <c r="X33" s="196"/>
      <c r="Y33" s="196"/>
      <c r="Z33" s="196"/>
      <c r="AA33" s="196"/>
      <c r="AB33" s="196"/>
      <c r="AC33" s="196"/>
      <c r="AD33" s="196"/>
    </row>
    <row r="34" spans="1:30" x14ac:dyDescent="0.2">
      <c r="A34" s="321" t="s">
        <v>338</v>
      </c>
      <c r="B34" s="273"/>
      <c r="C34" s="273"/>
      <c r="D34" s="273"/>
      <c r="E34" s="273"/>
      <c r="F34" s="194"/>
      <c r="G34" s="194"/>
      <c r="H34" s="194"/>
      <c r="I34" s="194"/>
      <c r="J34" s="194"/>
      <c r="K34" s="194"/>
      <c r="M34" s="194"/>
      <c r="N34" s="195"/>
    </row>
    <row r="35" spans="1:30" x14ac:dyDescent="0.2">
      <c r="A35" s="272"/>
      <c r="B35" s="273"/>
      <c r="C35" s="273"/>
      <c r="D35" s="273"/>
      <c r="E35" s="273"/>
      <c r="F35" s="194"/>
      <c r="G35" s="194"/>
      <c r="H35" s="194"/>
      <c r="I35" s="194"/>
      <c r="J35" s="194"/>
      <c r="K35" s="194"/>
      <c r="L35" s="194"/>
      <c r="M35" s="194"/>
      <c r="N35" s="195"/>
    </row>
    <row r="36" spans="1:30" x14ac:dyDescent="0.2">
      <c r="A36" s="276"/>
      <c r="B36" s="194"/>
      <c r="C36" s="194"/>
      <c r="D36" s="194"/>
      <c r="E36" s="194"/>
      <c r="F36" s="194"/>
      <c r="G36" s="194"/>
      <c r="H36" s="194"/>
      <c r="I36" s="194"/>
      <c r="J36" s="194"/>
      <c r="K36" s="194"/>
      <c r="L36" s="194"/>
      <c r="M36" s="194"/>
      <c r="N36" s="195"/>
    </row>
    <row r="37" spans="1:30" x14ac:dyDescent="0.2">
      <c r="A37" s="272"/>
      <c r="B37" s="162"/>
      <c r="C37" s="162"/>
      <c r="D37" s="162"/>
      <c r="E37" s="162"/>
      <c r="F37" s="237"/>
      <c r="G37" s="237"/>
      <c r="H37" s="237"/>
      <c r="I37" s="237"/>
      <c r="J37" s="237"/>
      <c r="K37" s="237"/>
      <c r="L37" s="237"/>
      <c r="M37" s="162"/>
      <c r="N37" s="186"/>
    </row>
    <row r="38" spans="1:30" x14ac:dyDescent="0.2">
      <c r="A38" s="193"/>
      <c r="B38" s="162"/>
      <c r="C38" s="162"/>
      <c r="D38" s="162"/>
      <c r="E38" s="162"/>
      <c r="F38" s="225"/>
      <c r="G38" s="162"/>
      <c r="H38" s="162"/>
      <c r="I38" s="162"/>
      <c r="J38" s="162"/>
      <c r="K38" s="162"/>
      <c r="L38" s="162"/>
      <c r="M38" s="162"/>
      <c r="N38" s="186"/>
    </row>
    <row r="39" spans="1:30" ht="15" x14ac:dyDescent="0.25">
      <c r="A39" s="323" t="s">
        <v>342</v>
      </c>
      <c r="B39" s="280"/>
      <c r="C39" s="280"/>
      <c r="D39" s="280"/>
      <c r="H39" s="322" t="s">
        <v>333</v>
      </c>
      <c r="I39" s="280"/>
      <c r="J39" s="280"/>
      <c r="K39" s="280"/>
      <c r="L39" s="280"/>
      <c r="M39" s="280"/>
      <c r="N39" s="186"/>
    </row>
    <row r="40" spans="1:30" x14ac:dyDescent="0.2">
      <c r="A40" s="272" t="s">
        <v>343</v>
      </c>
      <c r="B40" s="162"/>
      <c r="C40" s="162"/>
      <c r="D40" s="162"/>
      <c r="E40" s="162"/>
      <c r="F40" s="225"/>
      <c r="G40" s="162"/>
      <c r="H40" s="162"/>
      <c r="I40" s="162"/>
      <c r="J40" s="162"/>
      <c r="K40" s="162"/>
      <c r="L40" s="162"/>
      <c r="M40" s="162"/>
      <c r="N40" s="186"/>
    </row>
    <row r="41" spans="1:30" ht="15" thickBot="1" x14ac:dyDescent="0.25">
      <c r="A41" s="192"/>
      <c r="B41" s="187"/>
      <c r="C41" s="187"/>
      <c r="D41" s="187"/>
      <c r="E41" s="187"/>
      <c r="F41" s="187"/>
      <c r="G41" s="187"/>
      <c r="H41" s="187"/>
      <c r="I41" s="187"/>
      <c r="J41" s="187"/>
      <c r="K41" s="187"/>
      <c r="L41" s="187"/>
      <c r="M41" s="187"/>
      <c r="N41" s="188"/>
    </row>
    <row r="42" spans="1:30" s="184" customFormat="1" x14ac:dyDescent="0.2"/>
    <row r="43" spans="1:30" s="184" customFormat="1" x14ac:dyDescent="0.2"/>
    <row r="44" spans="1:30" s="184" customFormat="1" x14ac:dyDescent="0.2"/>
    <row r="45" spans="1:30" s="184" customFormat="1" x14ac:dyDescent="0.2"/>
    <row r="46" spans="1:30" s="184" customFormat="1" x14ac:dyDescent="0.2"/>
    <row r="47" spans="1:30" s="184" customFormat="1" x14ac:dyDescent="0.2"/>
    <row r="48" spans="1:30" s="184" customFormat="1" x14ac:dyDescent="0.2"/>
    <row r="49" s="184" customFormat="1" x14ac:dyDescent="0.2"/>
    <row r="50" s="184" customFormat="1" x14ac:dyDescent="0.2"/>
    <row r="51" s="184" customFormat="1" x14ac:dyDescent="0.2"/>
    <row r="52" s="184" customFormat="1" x14ac:dyDescent="0.2"/>
    <row r="53" s="184" customFormat="1" x14ac:dyDescent="0.2"/>
    <row r="54" s="184" customFormat="1" x14ac:dyDescent="0.2"/>
    <row r="55" s="184" customFormat="1" x14ac:dyDescent="0.2"/>
    <row r="56" s="184" customFormat="1" x14ac:dyDescent="0.2"/>
    <row r="57" s="184" customFormat="1" x14ac:dyDescent="0.2"/>
    <row r="58" s="184" customFormat="1" x14ac:dyDescent="0.2"/>
    <row r="59" s="184" customFormat="1" x14ac:dyDescent="0.2"/>
    <row r="60" s="184" customFormat="1" x14ac:dyDescent="0.2"/>
    <row r="61" s="184" customFormat="1" x14ac:dyDescent="0.2"/>
    <row r="62" s="184" customFormat="1" x14ac:dyDescent="0.2"/>
    <row r="63" s="184" customFormat="1" x14ac:dyDescent="0.2"/>
    <row r="64" s="184" customFormat="1" x14ac:dyDescent="0.2"/>
    <row r="65" s="184" customFormat="1" x14ac:dyDescent="0.2"/>
    <row r="66" s="184" customFormat="1" x14ac:dyDescent="0.2"/>
    <row r="67" s="184" customFormat="1" x14ac:dyDescent="0.2"/>
    <row r="68" s="184" customFormat="1" x14ac:dyDescent="0.2"/>
    <row r="69" s="184" customFormat="1" x14ac:dyDescent="0.2"/>
    <row r="70" s="184" customFormat="1" x14ac:dyDescent="0.2"/>
    <row r="71" s="184" customFormat="1" x14ac:dyDescent="0.2"/>
  </sheetData>
  <sheetProtection algorithmName="SHA-512" hashValue="Z3P2NeGMh0umMHAEJW3+zYsHHMRM78UxSHf6VVkLRzeUZLt+UQMHs5B6hVaGYcX33w+wI4pm4+jbWmp9sBmjcw==" saltValue="aoXiFcvv6bQI8jo3wNKZxQ==" spinCount="100000" sheet="1" objects="1" scenarios="1" selectLockedCells="1"/>
  <mergeCells count="4">
    <mergeCell ref="A26:N27"/>
    <mergeCell ref="A7:N7"/>
    <mergeCell ref="A18:N18"/>
    <mergeCell ref="A5:N5"/>
  </mergeCells>
  <hyperlinks>
    <hyperlink ref="H39" r:id="rId1" xr:uid="{00000000-0004-0000-0000-000000000000}"/>
    <hyperlink ref="A34" r:id="rId2" xr:uid="{00000000-0004-0000-0000-000001000000}"/>
  </hyperlinks>
  <pageMargins left="0.7" right="0.7" top="0.75" bottom="0.75" header="0.3" footer="0.3"/>
  <pageSetup scale="68" orientation="portrait" horizontalDpi="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D69"/>
  <sheetViews>
    <sheetView topLeftCell="K7" workbookViewId="0">
      <selection activeCell="M26" sqref="M26"/>
    </sheetView>
  </sheetViews>
  <sheetFormatPr defaultRowHeight="15" x14ac:dyDescent="0.25"/>
  <cols>
    <col min="1" max="1" width="11.42578125" customWidth="1"/>
    <col min="2" max="2" width="13.5703125" customWidth="1"/>
    <col min="3" max="3" width="12.42578125" customWidth="1"/>
    <col min="4" max="4" width="10.7109375" customWidth="1"/>
    <col min="5" max="7" width="12.7109375" customWidth="1"/>
    <col min="8" max="8" width="9.5703125" customWidth="1"/>
    <col min="9" max="9" width="17" customWidth="1"/>
    <col min="10" max="10" width="12.28515625" customWidth="1"/>
    <col min="11" max="11" width="7" customWidth="1"/>
    <col min="12" max="12" width="16" customWidth="1"/>
    <col min="13" max="13" width="17" customWidth="1"/>
    <col min="14" max="14" width="10.7109375" customWidth="1"/>
    <col min="15" max="15" width="15.140625" customWidth="1"/>
    <col min="16" max="16" width="12" customWidth="1"/>
    <col min="17" max="17" width="15.85546875" customWidth="1"/>
    <col min="18" max="18" width="18.28515625" customWidth="1"/>
    <col min="19" max="19" width="17.5703125" customWidth="1"/>
    <col min="20" max="20" width="12.7109375" customWidth="1"/>
    <col min="21" max="22" width="15.5703125" customWidth="1"/>
    <col min="23" max="23" width="9.140625" customWidth="1"/>
    <col min="24" max="24" width="13.7109375" customWidth="1"/>
    <col min="25" max="26" width="9.140625" customWidth="1"/>
  </cols>
  <sheetData>
    <row r="1" spans="1:30" ht="81.75" customHeight="1" x14ac:dyDescent="0.25">
      <c r="A1" s="1" t="s">
        <v>58</v>
      </c>
      <c r="B1" s="1" t="s">
        <v>59</v>
      </c>
      <c r="C1" s="1" t="s">
        <v>60</v>
      </c>
      <c r="D1" s="1" t="s">
        <v>61</v>
      </c>
      <c r="E1" s="1" t="s">
        <v>62</v>
      </c>
      <c r="F1" s="1" t="s">
        <v>63</v>
      </c>
      <c r="G1" s="1" t="s">
        <v>64</v>
      </c>
      <c r="H1" s="1" t="s">
        <v>65</v>
      </c>
      <c r="I1" s="1" t="s">
        <v>66</v>
      </c>
      <c r="J1" s="1" t="s">
        <v>67</v>
      </c>
      <c r="K1" s="1" t="s">
        <v>68</v>
      </c>
    </row>
    <row r="2" spans="1:30" s="51" customFormat="1" ht="68.25" customHeight="1" x14ac:dyDescent="0.25">
      <c r="A2" s="50" t="s">
        <v>69</v>
      </c>
      <c r="B2" s="50" t="s">
        <v>70</v>
      </c>
      <c r="C2" s="50" t="s">
        <v>71</v>
      </c>
      <c r="D2" s="50" t="s">
        <v>72</v>
      </c>
      <c r="E2" s="50" t="s">
        <v>73</v>
      </c>
      <c r="F2" s="50" t="s">
        <v>74</v>
      </c>
      <c r="G2" s="50" t="s">
        <v>74</v>
      </c>
      <c r="H2" s="50" t="s">
        <v>73</v>
      </c>
      <c r="I2" s="50" t="s">
        <v>71</v>
      </c>
      <c r="J2" s="50" t="s">
        <v>75</v>
      </c>
      <c r="K2" s="50" t="s">
        <v>75</v>
      </c>
      <c r="O2" s="51">
        <f>57*25</f>
        <v>1425</v>
      </c>
    </row>
    <row r="3" spans="1:30" ht="15.75" x14ac:dyDescent="0.25">
      <c r="A3" s="52" t="s">
        <v>36</v>
      </c>
      <c r="B3" s="52" t="s">
        <v>13</v>
      </c>
      <c r="C3" s="52" t="s">
        <v>0</v>
      </c>
      <c r="D3" s="52" t="s">
        <v>0</v>
      </c>
      <c r="E3" s="52" t="s">
        <v>0</v>
      </c>
      <c r="F3" s="52" t="s">
        <v>0</v>
      </c>
      <c r="G3" s="52" t="s">
        <v>0</v>
      </c>
      <c r="H3" s="52" t="s">
        <v>0</v>
      </c>
      <c r="I3" s="52" t="s">
        <v>0</v>
      </c>
      <c r="J3" s="52" t="s">
        <v>0</v>
      </c>
      <c r="K3" s="53" t="s">
        <v>76</v>
      </c>
      <c r="Q3" s="78">
        <v>175</v>
      </c>
    </row>
    <row r="4" spans="1:30" s="60" customFormat="1" ht="15.75" x14ac:dyDescent="0.25">
      <c r="A4" s="54">
        <v>4</v>
      </c>
      <c r="B4" s="55">
        <v>1.56</v>
      </c>
      <c r="C4" s="55">
        <v>1.1200000000000001</v>
      </c>
      <c r="D4" s="56">
        <v>1.3</v>
      </c>
      <c r="E4" s="56">
        <v>1.3</v>
      </c>
      <c r="F4" s="56">
        <v>1.3</v>
      </c>
      <c r="G4" s="56">
        <v>1.3</v>
      </c>
      <c r="H4" s="56">
        <v>1.3</v>
      </c>
      <c r="I4" s="57">
        <v>3</v>
      </c>
      <c r="J4" s="58">
        <v>1.22</v>
      </c>
      <c r="K4" s="59">
        <f>J4*28.3</f>
        <v>34.526000000000003</v>
      </c>
      <c r="N4"/>
      <c r="Q4" s="77">
        <v>475</v>
      </c>
    </row>
    <row r="5" spans="1:30" ht="15.75" x14ac:dyDescent="0.25">
      <c r="A5" s="52">
        <v>6</v>
      </c>
      <c r="B5" s="58">
        <f>$B$4*(A5/$A$4)^$B$9</f>
        <v>4.2988544985844781</v>
      </c>
      <c r="C5" s="61">
        <v>2.52</v>
      </c>
      <c r="D5" s="62">
        <v>3.58</v>
      </c>
      <c r="E5" s="62">
        <v>3.58</v>
      </c>
      <c r="F5" s="62">
        <v>4.0999999999999996</v>
      </c>
      <c r="G5" s="62">
        <v>4.0999999999999996</v>
      </c>
      <c r="H5" s="62">
        <v>4.0999999999999996</v>
      </c>
      <c r="I5" s="63">
        <v>8</v>
      </c>
      <c r="J5" s="58">
        <f>$J$4*(A5/$A$4)^2.5</f>
        <v>3.3619246719699123</v>
      </c>
      <c r="K5" s="59">
        <f>J5*28.3</f>
        <v>95.142468216748526</v>
      </c>
      <c r="L5" s="60"/>
      <c r="N5" s="60"/>
      <c r="Q5" s="77">
        <v>950</v>
      </c>
    </row>
    <row r="6" spans="1:30" ht="15.75" x14ac:dyDescent="0.25">
      <c r="A6" s="52">
        <v>8</v>
      </c>
      <c r="B6" s="58">
        <f>$B$4*(A6/$A$4)^$B$9</f>
        <v>8.8246926292081138</v>
      </c>
      <c r="C6" s="61">
        <v>4.4800000000000004</v>
      </c>
      <c r="D6" s="62">
        <v>7.35</v>
      </c>
      <c r="E6" s="62">
        <v>7.35</v>
      </c>
      <c r="F6" s="62">
        <v>9.4</v>
      </c>
      <c r="G6" s="62">
        <v>9.4</v>
      </c>
      <c r="H6" s="62">
        <v>9.4</v>
      </c>
      <c r="I6" s="63">
        <v>15</v>
      </c>
      <c r="J6" s="58">
        <f>$J$4*(A6/$A$4)^2.5</f>
        <v>6.9013621843807043</v>
      </c>
      <c r="K6" s="64">
        <f>J6*28.3</f>
        <v>195.30854981797393</v>
      </c>
      <c r="L6" s="60"/>
      <c r="Q6" s="77">
        <v>1425</v>
      </c>
    </row>
    <row r="7" spans="1:30" ht="15.75" x14ac:dyDescent="0.25">
      <c r="A7" s="52">
        <v>10</v>
      </c>
      <c r="B7" s="58">
        <f>$B$4*(A7/$A$4)^$B$9</f>
        <v>15.416103593320852</v>
      </c>
      <c r="C7" s="55">
        <v>7</v>
      </c>
      <c r="D7" s="62">
        <v>12.85</v>
      </c>
      <c r="E7" s="62">
        <v>12.85</v>
      </c>
      <c r="F7" s="62">
        <v>17.7</v>
      </c>
      <c r="G7" s="62">
        <v>17.7</v>
      </c>
      <c r="H7" s="62">
        <v>17.7</v>
      </c>
      <c r="I7" s="63">
        <v>25</v>
      </c>
      <c r="J7" s="58">
        <f>$J$4*(A7/$A$4)^2.5</f>
        <v>12.056183579391947</v>
      </c>
      <c r="K7" s="64">
        <f>J7*28.3</f>
        <v>341.18999529679212</v>
      </c>
      <c r="L7" s="60"/>
    </row>
    <row r="8" spans="1:30" ht="15.75" x14ac:dyDescent="0.25">
      <c r="A8" s="52">
        <v>12</v>
      </c>
      <c r="B8" s="58">
        <f>$B$4*(A8/$A$4)^$B$9</f>
        <v>24.317993338267048</v>
      </c>
      <c r="C8" s="55">
        <v>10.08</v>
      </c>
      <c r="D8" s="62">
        <v>20.27</v>
      </c>
      <c r="E8" s="62" t="s">
        <v>77</v>
      </c>
      <c r="F8" s="62" t="s">
        <v>77</v>
      </c>
      <c r="G8" s="62" t="s">
        <v>77</v>
      </c>
      <c r="H8" s="62" t="s">
        <v>77</v>
      </c>
      <c r="I8" s="63" t="s">
        <v>78</v>
      </c>
      <c r="J8" s="58">
        <f>$J$4*(A8/$A$4)^2.5</f>
        <v>19.017917867106281</v>
      </c>
      <c r="K8" s="64">
        <f>J8*28.3</f>
        <v>538.20707563910776</v>
      </c>
      <c r="L8" s="60"/>
    </row>
    <row r="9" spans="1:30" s="69" customFormat="1" ht="31.5" x14ac:dyDescent="0.25">
      <c r="A9" s="65" t="s">
        <v>79</v>
      </c>
      <c r="B9" s="66">
        <v>2.5</v>
      </c>
      <c r="C9" s="59">
        <v>2</v>
      </c>
      <c r="D9" s="67">
        <v>2.5</v>
      </c>
      <c r="E9" s="67">
        <v>2.5</v>
      </c>
      <c r="F9" s="67">
        <v>2.85</v>
      </c>
      <c r="G9" s="67">
        <v>2.85</v>
      </c>
      <c r="H9" s="67">
        <v>2.85</v>
      </c>
      <c r="I9" s="68">
        <v>2.5</v>
      </c>
      <c r="J9" s="68">
        <v>2.5</v>
      </c>
      <c r="K9" s="68">
        <v>2.5</v>
      </c>
    </row>
    <row r="10" spans="1:30" ht="15.75" thickBot="1" x14ac:dyDescent="0.3">
      <c r="A10" t="s">
        <v>80</v>
      </c>
      <c r="Y10" s="336" t="s">
        <v>365</v>
      </c>
      <c r="AA10" s="336" t="s">
        <v>363</v>
      </c>
      <c r="AC10" s="336" t="s">
        <v>364</v>
      </c>
      <c r="AD10" s="336"/>
    </row>
    <row r="11" spans="1:30" x14ac:dyDescent="0.25">
      <c r="A11" t="s">
        <v>81</v>
      </c>
      <c r="L11" s="71"/>
      <c r="M11" s="71"/>
      <c r="N11" s="72">
        <v>1</v>
      </c>
      <c r="O11" s="72">
        <v>2</v>
      </c>
      <c r="P11" s="72">
        <v>3</v>
      </c>
      <c r="Q11" s="72">
        <v>4</v>
      </c>
      <c r="R11" s="72">
        <v>5</v>
      </c>
      <c r="S11" s="72">
        <v>6</v>
      </c>
      <c r="T11" s="72">
        <v>7</v>
      </c>
      <c r="U11" s="337">
        <v>8</v>
      </c>
      <c r="V11" s="338">
        <v>9</v>
      </c>
      <c r="Y11" t="s">
        <v>356</v>
      </c>
      <c r="AA11" t="s">
        <v>357</v>
      </c>
      <c r="AC11" t="s">
        <v>362</v>
      </c>
    </row>
    <row r="12" spans="1:30" x14ac:dyDescent="0.25">
      <c r="A12" t="s">
        <v>82</v>
      </c>
      <c r="I12" s="46" t="s">
        <v>0</v>
      </c>
      <c r="J12" t="s">
        <v>108</v>
      </c>
      <c r="K12">
        <f>'2-Sizing'!S9</f>
        <v>0</v>
      </c>
      <c r="L12" s="73"/>
      <c r="M12" s="73" t="s">
        <v>268</v>
      </c>
      <c r="N12" s="62" t="s">
        <v>97</v>
      </c>
      <c r="O12" s="75" t="s">
        <v>91</v>
      </c>
      <c r="P12" s="75" t="s">
        <v>353</v>
      </c>
      <c r="Q12" s="75" t="s">
        <v>92</v>
      </c>
      <c r="R12" s="75" t="s">
        <v>354</v>
      </c>
      <c r="S12" s="75" t="s">
        <v>94</v>
      </c>
      <c r="T12" s="75" t="s">
        <v>347</v>
      </c>
      <c r="U12" s="339" t="s">
        <v>95</v>
      </c>
      <c r="V12" s="340" t="s">
        <v>147</v>
      </c>
      <c r="X12" s="329" t="s">
        <v>348</v>
      </c>
      <c r="Y12" s="329" t="s">
        <v>0</v>
      </c>
      <c r="Z12" s="329" t="s">
        <v>259</v>
      </c>
      <c r="AA12" s="329" t="s">
        <v>0</v>
      </c>
      <c r="AB12" s="329" t="s">
        <v>259</v>
      </c>
      <c r="AC12" s="329" t="s">
        <v>0</v>
      </c>
      <c r="AD12" s="329" t="s">
        <v>259</v>
      </c>
    </row>
    <row r="13" spans="1:30" x14ac:dyDescent="0.25">
      <c r="A13" t="s">
        <v>83</v>
      </c>
      <c r="I13" s="46" t="s">
        <v>259</v>
      </c>
      <c r="J13" t="s">
        <v>108</v>
      </c>
      <c r="K13" s="70">
        <f>'2-Sizing'!R10</f>
        <v>0</v>
      </c>
      <c r="L13" s="76">
        <v>4</v>
      </c>
      <c r="M13" s="76">
        <v>6</v>
      </c>
      <c r="N13" s="77">
        <v>1.56</v>
      </c>
      <c r="O13" s="355">
        <v>0</v>
      </c>
      <c r="P13" s="356">
        <v>0</v>
      </c>
      <c r="Q13" s="78">
        <v>150</v>
      </c>
      <c r="R13" s="78">
        <v>150</v>
      </c>
      <c r="S13" s="78">
        <v>0</v>
      </c>
      <c r="T13" s="78">
        <v>150</v>
      </c>
      <c r="U13" s="341">
        <v>150</v>
      </c>
      <c r="V13" s="342">
        <v>1.1200000000000001</v>
      </c>
      <c r="X13">
        <v>1</v>
      </c>
      <c r="Y13">
        <v>4.4999999999999998E-2</v>
      </c>
      <c r="Z13">
        <v>20</v>
      </c>
      <c r="AA13">
        <f>ROUND(0.0557*X13,3)</f>
        <v>5.6000000000000001E-2</v>
      </c>
      <c r="AB13">
        <v>25</v>
      </c>
      <c r="AC13">
        <f>0.056*X13</f>
        <v>5.6000000000000001E-2</v>
      </c>
      <c r="AD13">
        <f>ROUND(AC13*448.8,0)</f>
        <v>25</v>
      </c>
    </row>
    <row r="14" spans="1:30" x14ac:dyDescent="0.25">
      <c r="A14" t="s">
        <v>84</v>
      </c>
      <c r="J14" t="s">
        <v>112</v>
      </c>
      <c r="K14">
        <f>'2-Sizing'!Q11</f>
        <v>7</v>
      </c>
      <c r="L14" s="76">
        <v>7</v>
      </c>
      <c r="M14" s="76">
        <v>7</v>
      </c>
      <c r="N14" s="77">
        <v>4.3</v>
      </c>
      <c r="O14" s="357">
        <v>176</v>
      </c>
      <c r="P14" s="358">
        <v>175</v>
      </c>
      <c r="Q14" s="77">
        <v>175</v>
      </c>
      <c r="R14" s="77">
        <v>176</v>
      </c>
      <c r="S14" s="77">
        <v>140</v>
      </c>
      <c r="T14" s="77">
        <v>176</v>
      </c>
      <c r="U14" s="343">
        <v>175</v>
      </c>
      <c r="V14" s="344">
        <v>2.52</v>
      </c>
      <c r="X14">
        <v>2</v>
      </c>
      <c r="Y14">
        <v>0.09</v>
      </c>
      <c r="Z14">
        <v>40</v>
      </c>
      <c r="AA14">
        <f t="shared" ref="AA14:AA69" si="0">ROUND(0.0557*X14,3)</f>
        <v>0.111</v>
      </c>
      <c r="AB14">
        <v>50</v>
      </c>
      <c r="AC14">
        <f t="shared" ref="AC14:AC69" si="1">0.056*X14</f>
        <v>0.112</v>
      </c>
      <c r="AD14">
        <f t="shared" ref="AD14:AD69" si="2">ROUND(AC14*448.8,0)</f>
        <v>50</v>
      </c>
    </row>
    <row r="15" spans="1:30" x14ac:dyDescent="0.25">
      <c r="A15" t="s">
        <v>85</v>
      </c>
      <c r="L15" s="76">
        <v>10.5</v>
      </c>
      <c r="M15" s="76">
        <v>19</v>
      </c>
      <c r="N15" s="77">
        <v>8.82</v>
      </c>
      <c r="O15" s="357">
        <v>478</v>
      </c>
      <c r="P15" s="358">
        <v>475</v>
      </c>
      <c r="Q15" s="77">
        <v>475</v>
      </c>
      <c r="R15" s="77">
        <v>478</v>
      </c>
      <c r="S15" s="77">
        <v>380</v>
      </c>
      <c r="T15" s="77">
        <v>478</v>
      </c>
      <c r="U15" s="343">
        <v>475</v>
      </c>
      <c r="V15" s="344">
        <v>4.4800000000000004</v>
      </c>
      <c r="X15">
        <v>3</v>
      </c>
      <c r="Y15">
        <v>0.13500000000000001</v>
      </c>
      <c r="Z15">
        <v>61</v>
      </c>
      <c r="AA15">
        <f t="shared" si="0"/>
        <v>0.16700000000000001</v>
      </c>
      <c r="AB15">
        <v>75</v>
      </c>
      <c r="AC15">
        <f t="shared" si="1"/>
        <v>0.16800000000000001</v>
      </c>
      <c r="AD15">
        <f t="shared" si="2"/>
        <v>75</v>
      </c>
    </row>
    <row r="16" spans="1:30" x14ac:dyDescent="0.25">
      <c r="A16" t="s">
        <v>86</v>
      </c>
      <c r="L16" s="76">
        <v>11</v>
      </c>
      <c r="M16" s="76">
        <v>38</v>
      </c>
      <c r="N16" s="77">
        <v>15.42</v>
      </c>
      <c r="O16" s="355">
        <v>955</v>
      </c>
      <c r="P16" s="358">
        <v>950</v>
      </c>
      <c r="Q16" s="77">
        <v>950</v>
      </c>
      <c r="R16" s="77">
        <v>955</v>
      </c>
      <c r="S16" s="77">
        <v>760</v>
      </c>
      <c r="T16" s="77">
        <v>955</v>
      </c>
      <c r="U16" s="343">
        <v>950</v>
      </c>
      <c r="V16" s="342">
        <v>7</v>
      </c>
      <c r="X16">
        <v>4</v>
      </c>
      <c r="Y16">
        <v>0.18</v>
      </c>
      <c r="Z16">
        <v>81</v>
      </c>
      <c r="AA16">
        <f t="shared" si="0"/>
        <v>0.223</v>
      </c>
      <c r="AB16">
        <v>100</v>
      </c>
      <c r="AC16">
        <f t="shared" si="1"/>
        <v>0.224</v>
      </c>
      <c r="AD16">
        <f t="shared" si="2"/>
        <v>101</v>
      </c>
    </row>
    <row r="17" spans="1:30" ht="15.75" thickBot="1" x14ac:dyDescent="0.3">
      <c r="A17" t="s">
        <v>87</v>
      </c>
      <c r="L17" s="79">
        <v>15</v>
      </c>
      <c r="M17" s="76">
        <v>57</v>
      </c>
      <c r="N17" s="80"/>
      <c r="O17" s="359">
        <v>1433</v>
      </c>
      <c r="P17" s="360">
        <v>1425</v>
      </c>
      <c r="Q17" s="74">
        <v>1425</v>
      </c>
      <c r="R17" s="74">
        <v>1433</v>
      </c>
      <c r="S17" s="74">
        <v>1140</v>
      </c>
      <c r="T17" s="74">
        <v>1433</v>
      </c>
      <c r="U17" s="345">
        <v>1425</v>
      </c>
      <c r="V17" s="346">
        <v>10.08</v>
      </c>
      <c r="X17">
        <v>5</v>
      </c>
      <c r="Y17">
        <v>0.22499999999999998</v>
      </c>
      <c r="Z17">
        <v>101</v>
      </c>
      <c r="AA17">
        <f t="shared" si="0"/>
        <v>0.27900000000000003</v>
      </c>
      <c r="AB17">
        <v>125</v>
      </c>
      <c r="AC17">
        <f t="shared" si="1"/>
        <v>0.28000000000000003</v>
      </c>
      <c r="AD17">
        <f t="shared" si="2"/>
        <v>126</v>
      </c>
    </row>
    <row r="18" spans="1:30" x14ac:dyDescent="0.25">
      <c r="A18" t="s">
        <v>88</v>
      </c>
      <c r="L18" t="s">
        <v>111</v>
      </c>
      <c r="N18" s="6">
        <f>MAX(N13:N17)</f>
        <v>15.42</v>
      </c>
      <c r="O18" s="6">
        <f t="shared" ref="O18:V18" si="3">MAX(O13:O17)</f>
        <v>1433</v>
      </c>
      <c r="P18" s="6">
        <f t="shared" si="3"/>
        <v>1425</v>
      </c>
      <c r="Q18" s="6">
        <f t="shared" si="3"/>
        <v>1425</v>
      </c>
      <c r="R18" s="6">
        <f t="shared" si="3"/>
        <v>1433</v>
      </c>
      <c r="S18" s="6">
        <f t="shared" si="3"/>
        <v>1140</v>
      </c>
      <c r="T18" s="6">
        <f t="shared" si="3"/>
        <v>1433</v>
      </c>
      <c r="U18" s="6">
        <f t="shared" si="3"/>
        <v>1425</v>
      </c>
      <c r="V18" s="6">
        <f t="shared" si="3"/>
        <v>10.08</v>
      </c>
      <c r="X18">
        <v>6</v>
      </c>
      <c r="Y18">
        <v>0.27</v>
      </c>
      <c r="Z18">
        <v>121</v>
      </c>
      <c r="AA18">
        <f t="shared" si="0"/>
        <v>0.33400000000000002</v>
      </c>
      <c r="AB18">
        <v>150</v>
      </c>
      <c r="AC18">
        <f t="shared" si="1"/>
        <v>0.33600000000000002</v>
      </c>
      <c r="AD18">
        <f t="shared" si="2"/>
        <v>151</v>
      </c>
    </row>
    <row r="19" spans="1:30" ht="15.75" thickBot="1" x14ac:dyDescent="0.3">
      <c r="A19" t="s">
        <v>89</v>
      </c>
      <c r="L19" s="292" t="s">
        <v>369</v>
      </c>
      <c r="M19" s="4"/>
      <c r="N19" s="292" t="s">
        <v>292</v>
      </c>
      <c r="O19" s="4"/>
      <c r="Q19" s="347" t="s">
        <v>355</v>
      </c>
      <c r="R19" s="348"/>
      <c r="U19" s="347" t="s">
        <v>106</v>
      </c>
      <c r="V19" s="348"/>
      <c r="X19">
        <v>7</v>
      </c>
      <c r="Y19">
        <v>0.315</v>
      </c>
      <c r="Z19">
        <v>141</v>
      </c>
      <c r="AA19">
        <f t="shared" si="0"/>
        <v>0.39</v>
      </c>
      <c r="AB19">
        <v>175</v>
      </c>
      <c r="AC19">
        <f t="shared" si="1"/>
        <v>0.39200000000000002</v>
      </c>
      <c r="AD19">
        <f t="shared" si="2"/>
        <v>176</v>
      </c>
    </row>
    <row r="20" spans="1:30" ht="15.75" thickBot="1" x14ac:dyDescent="0.3">
      <c r="L20" s="81">
        <v>4</v>
      </c>
      <c r="M20" s="354">
        <f>HLOOKUP('2-Sizing'!$Q$11,$N$11:$V$17,3,0)</f>
        <v>150</v>
      </c>
      <c r="N20" s="82"/>
      <c r="O20" s="4"/>
      <c r="Q20" s="349">
        <v>4</v>
      </c>
      <c r="R20" s="350">
        <f>P13</f>
        <v>0</v>
      </c>
      <c r="U20" s="349">
        <v>4</v>
      </c>
      <c r="V20" s="350">
        <f>HLOOKUP("50-Micron Flow Rates ",$B$1:$J$8,4,0)</f>
        <v>1.22</v>
      </c>
      <c r="X20">
        <v>8</v>
      </c>
      <c r="Y20">
        <v>0.36</v>
      </c>
      <c r="Z20">
        <v>162</v>
      </c>
      <c r="AA20">
        <f t="shared" si="0"/>
        <v>0.44600000000000001</v>
      </c>
      <c r="AB20">
        <v>200</v>
      </c>
      <c r="AC20">
        <f t="shared" si="1"/>
        <v>0.44800000000000001</v>
      </c>
      <c r="AD20">
        <f t="shared" si="2"/>
        <v>201</v>
      </c>
    </row>
    <row r="21" spans="1:30" ht="15.75" thickBot="1" x14ac:dyDescent="0.3">
      <c r="L21" s="76">
        <v>7</v>
      </c>
      <c r="M21" s="83">
        <f>HLOOKUP('2-Sizing'!$Q$11,$N$11:$V$17,4,0)</f>
        <v>176</v>
      </c>
      <c r="N21" s="83">
        <f>HLOOKUP('2-Sizing'!$K$20, Performance!$AC$11:$AJ$17, 4, 0)</f>
        <v>96</v>
      </c>
      <c r="O21" s="4"/>
      <c r="Q21" s="351">
        <v>7</v>
      </c>
      <c r="R21" s="350">
        <f>P14</f>
        <v>175</v>
      </c>
      <c r="U21" s="351">
        <v>6</v>
      </c>
      <c r="V21" s="350">
        <f>HLOOKUP("50-Micron Flow Rates ",$B$1:$J$8,5,0)</f>
        <v>3.3619246719699123</v>
      </c>
      <c r="X21">
        <v>9</v>
      </c>
      <c r="Y21">
        <v>0.40499999999999997</v>
      </c>
      <c r="Z21">
        <v>182</v>
      </c>
      <c r="AA21">
        <f t="shared" si="0"/>
        <v>0.501</v>
      </c>
      <c r="AB21">
        <v>225</v>
      </c>
      <c r="AC21">
        <f t="shared" si="1"/>
        <v>0.504</v>
      </c>
      <c r="AD21">
        <f t="shared" si="2"/>
        <v>226</v>
      </c>
    </row>
    <row r="22" spans="1:30" ht="15.75" thickBot="1" x14ac:dyDescent="0.3">
      <c r="L22" s="76">
        <v>10.5</v>
      </c>
      <c r="M22" s="83">
        <f>HLOOKUP('2-Sizing'!$Q$11,$N$11:$V$17,5,0)</f>
        <v>478</v>
      </c>
      <c r="N22" s="83">
        <f>HLOOKUP('2-Sizing'!$K$20, Performance!$AC$11:$AJ$17, 5, 0)</f>
        <v>86</v>
      </c>
      <c r="O22" s="4"/>
      <c r="Q22" s="351">
        <v>10.5</v>
      </c>
      <c r="R22" s="350">
        <f>P15</f>
        <v>475</v>
      </c>
      <c r="U22" s="351">
        <v>8</v>
      </c>
      <c r="V22" s="350">
        <f>HLOOKUP("50-Micron Flow Rates ",$B$1:$J$8,6,0)</f>
        <v>6.9013621843807043</v>
      </c>
      <c r="X22">
        <v>10</v>
      </c>
      <c r="Y22">
        <v>0.44999999999999996</v>
      </c>
      <c r="Z22">
        <v>202</v>
      </c>
      <c r="AA22">
        <f t="shared" si="0"/>
        <v>0.55700000000000005</v>
      </c>
      <c r="AB22">
        <v>250</v>
      </c>
      <c r="AC22">
        <f t="shared" si="1"/>
        <v>0.56000000000000005</v>
      </c>
      <c r="AD22">
        <f t="shared" si="2"/>
        <v>251</v>
      </c>
    </row>
    <row r="23" spans="1:30" ht="15.75" thickBot="1" x14ac:dyDescent="0.3">
      <c r="L23" s="76">
        <v>11</v>
      </c>
      <c r="M23" s="83">
        <f>HLOOKUP('2-Sizing'!$Q$11,$N$11:$V$17,6,0)</f>
        <v>955</v>
      </c>
      <c r="N23" s="83">
        <f>HLOOKUP('2-Sizing'!$K$20, Performance!$AC$11:$AJ$17, 6, 0)</f>
        <v>164</v>
      </c>
      <c r="O23" s="4"/>
      <c r="Q23" s="351">
        <v>11</v>
      </c>
      <c r="R23" s="350">
        <f>P16</f>
        <v>950</v>
      </c>
      <c r="U23" s="351">
        <v>10</v>
      </c>
      <c r="V23" s="350">
        <f>HLOOKUP("50-Micron Flow Rates ",$B$1:$J$8,7,0)</f>
        <v>12.056183579391947</v>
      </c>
      <c r="X23">
        <v>11</v>
      </c>
      <c r="Y23">
        <v>0.495</v>
      </c>
      <c r="Z23">
        <v>222</v>
      </c>
      <c r="AA23">
        <f t="shared" si="0"/>
        <v>0.61299999999999999</v>
      </c>
      <c r="AB23">
        <v>275</v>
      </c>
      <c r="AC23">
        <f t="shared" si="1"/>
        <v>0.61599999999999999</v>
      </c>
      <c r="AD23">
        <f t="shared" si="2"/>
        <v>276</v>
      </c>
    </row>
    <row r="24" spans="1:30" ht="15.75" thickBot="1" x14ac:dyDescent="0.3">
      <c r="L24" s="79">
        <v>15</v>
      </c>
      <c r="M24" s="84">
        <f>HLOOKUP('2-Sizing'!$Q$11,$N$11:$V$17,7,0)</f>
        <v>1433</v>
      </c>
      <c r="N24" s="84">
        <f>HLOOKUP('2-Sizing'!$K$20, Performance!$AC$11:$AJ$17, 6, 0)</f>
        <v>164</v>
      </c>
      <c r="O24" s="4"/>
      <c r="Q24" s="352">
        <v>15</v>
      </c>
      <c r="R24" s="350">
        <f>P17</f>
        <v>1425</v>
      </c>
      <c r="U24" s="352">
        <v>12</v>
      </c>
      <c r="V24" s="350">
        <f>HLOOKUP("50-Micron Flow Rates ",$B$1:$J$8,8,0)</f>
        <v>19.017917867106281</v>
      </c>
      <c r="X24">
        <v>12</v>
      </c>
      <c r="Y24">
        <v>0.54</v>
      </c>
      <c r="Z24">
        <v>242</v>
      </c>
      <c r="AA24">
        <f t="shared" si="0"/>
        <v>0.66800000000000004</v>
      </c>
      <c r="AB24">
        <v>300</v>
      </c>
      <c r="AC24">
        <f t="shared" si="1"/>
        <v>0.67200000000000004</v>
      </c>
      <c r="AD24">
        <f t="shared" si="2"/>
        <v>302</v>
      </c>
    </row>
    <row r="25" spans="1:30" x14ac:dyDescent="0.25">
      <c r="U25" s="348"/>
      <c r="V25" s="348"/>
      <c r="X25">
        <v>13</v>
      </c>
      <c r="Y25">
        <v>0.58499999999999996</v>
      </c>
      <c r="Z25">
        <v>263</v>
      </c>
      <c r="AA25">
        <f t="shared" si="0"/>
        <v>0.72399999999999998</v>
      </c>
      <c r="AB25">
        <v>325</v>
      </c>
      <c r="AC25">
        <f t="shared" si="1"/>
        <v>0.72799999999999998</v>
      </c>
      <c r="AD25">
        <f t="shared" si="2"/>
        <v>327</v>
      </c>
    </row>
    <row r="26" spans="1:30" x14ac:dyDescent="0.25">
      <c r="L26" t="s">
        <v>107</v>
      </c>
      <c r="M26" s="335">
        <f>IF(K13&lt;=M20,L20,IF(K13&lt;=M21,L21,IF(K13&lt;=M22,L22,IF(K13&lt;=M23,L23,IF(K13&lt;=M24,L24,"X")))))</f>
        <v>4</v>
      </c>
      <c r="U26" s="348" t="s">
        <v>107</v>
      </c>
      <c r="V26" s="353">
        <f>IF(K13&lt;=V20,U20,IF(K13&lt;=V21,U21,IF(K13&lt;=V22,U22,IF(K13&lt;=V23,U23,IF(K13&lt;=V24,U24,"X")))))</f>
        <v>4</v>
      </c>
      <c r="X26">
        <v>14</v>
      </c>
      <c r="Y26">
        <v>0.63</v>
      </c>
      <c r="Z26">
        <v>283</v>
      </c>
      <c r="AA26">
        <f t="shared" si="0"/>
        <v>0.78</v>
      </c>
      <c r="AB26">
        <v>350</v>
      </c>
      <c r="AC26">
        <f t="shared" si="1"/>
        <v>0.78400000000000003</v>
      </c>
      <c r="AD26">
        <f t="shared" si="2"/>
        <v>352</v>
      </c>
    </row>
    <row r="27" spans="1:30" x14ac:dyDescent="0.25">
      <c r="X27">
        <v>15</v>
      </c>
      <c r="Y27">
        <v>0.67499999999999993</v>
      </c>
      <c r="Z27">
        <v>303</v>
      </c>
      <c r="AA27">
        <f t="shared" si="0"/>
        <v>0.83599999999999997</v>
      </c>
      <c r="AB27">
        <v>375</v>
      </c>
      <c r="AC27">
        <f t="shared" si="1"/>
        <v>0.84</v>
      </c>
      <c r="AD27">
        <f t="shared" si="2"/>
        <v>377</v>
      </c>
    </row>
    <row r="28" spans="1:30" x14ac:dyDescent="0.25">
      <c r="X28">
        <v>16</v>
      </c>
      <c r="Y28">
        <v>0.72</v>
      </c>
      <c r="Z28">
        <v>323</v>
      </c>
      <c r="AA28">
        <f t="shared" si="0"/>
        <v>0.89100000000000001</v>
      </c>
      <c r="AB28">
        <v>400</v>
      </c>
      <c r="AC28">
        <f t="shared" si="1"/>
        <v>0.89600000000000002</v>
      </c>
      <c r="AD28">
        <f t="shared" si="2"/>
        <v>402</v>
      </c>
    </row>
    <row r="29" spans="1:30" x14ac:dyDescent="0.25">
      <c r="J29" t="s">
        <v>103</v>
      </c>
      <c r="L29">
        <f>'2-Sizing'!Q22</f>
        <v>1</v>
      </c>
      <c r="N29" t="s">
        <v>287</v>
      </c>
      <c r="O29">
        <f>M33</f>
        <v>1</v>
      </c>
      <c r="X29">
        <v>17</v>
      </c>
      <c r="Y29">
        <v>0.76500000000000001</v>
      </c>
      <c r="Z29">
        <v>343</v>
      </c>
      <c r="AA29">
        <f t="shared" si="0"/>
        <v>0.94699999999999995</v>
      </c>
      <c r="AB29">
        <v>425</v>
      </c>
      <c r="AC29">
        <f t="shared" si="1"/>
        <v>0.95200000000000007</v>
      </c>
      <c r="AD29">
        <f t="shared" si="2"/>
        <v>427</v>
      </c>
    </row>
    <row r="30" spans="1:30" x14ac:dyDescent="0.25">
      <c r="J30" t="s">
        <v>110</v>
      </c>
      <c r="L30">
        <f>'2-Sizing'!Q23</f>
        <v>1</v>
      </c>
      <c r="X30">
        <v>18</v>
      </c>
      <c r="Y30">
        <v>0.80999999999999994</v>
      </c>
      <c r="Z30">
        <v>364</v>
      </c>
      <c r="AA30">
        <f t="shared" si="0"/>
        <v>1.0029999999999999</v>
      </c>
      <c r="AB30">
        <v>450</v>
      </c>
      <c r="AC30">
        <f t="shared" si="1"/>
        <v>1.008</v>
      </c>
      <c r="AD30">
        <f t="shared" si="2"/>
        <v>452</v>
      </c>
    </row>
    <row r="31" spans="1:30" x14ac:dyDescent="0.25">
      <c r="N31" t="s">
        <v>109</v>
      </c>
      <c r="O31">
        <f>V26</f>
        <v>4</v>
      </c>
      <c r="X31">
        <v>19</v>
      </c>
      <c r="Y31">
        <v>0.85499999999999998</v>
      </c>
      <c r="Z31">
        <v>384</v>
      </c>
      <c r="AA31">
        <f t="shared" si="0"/>
        <v>1.0580000000000001</v>
      </c>
      <c r="AB31">
        <v>475</v>
      </c>
      <c r="AC31">
        <f t="shared" si="1"/>
        <v>1.0640000000000001</v>
      </c>
      <c r="AD31">
        <f t="shared" si="2"/>
        <v>478</v>
      </c>
    </row>
    <row r="32" spans="1:30" x14ac:dyDescent="0.25">
      <c r="H32" t="s">
        <v>365</v>
      </c>
      <c r="I32" t="s">
        <v>358</v>
      </c>
      <c r="J32">
        <f>IF(K12&lt;=Y13,X13,IF(K12&lt;=Y14,X14,IF(K12&lt;=Y15,X15,IF(K12&lt;=Y16,X16,IF(K12&lt;=Y17,X17,IF(K12&lt;=Y18,X18,IF(K12&lt;=Y19,X19,IF(K12&lt;=Y20,X20,IF(K12&lt;=Y21,X21,IF(K12&lt;=Y22,X22,IF(K12&lt;=Y23,X23,IF(K12&lt;=Y24,X24,IF(K12&lt;=Y25,X25,IF(K12&lt;=Y26,X26,IF(K12&lt;=Y27,X27,IF(K12&lt;=Y28,X28,IF(K12&lt;=Y29,X29,IF(K12&lt;=Y30,X30,IF(K12&lt;=Y31,X31,IF(K12&lt;=Y32,X32,IF(K12&lt;=Y33,X33,IF(K12&lt;=Y34,X34,IF(K12&lt;=Y35,X35,IF(K12&lt;=Y36,X36,IF(K12&lt;=Y37,X37,IF(K12&lt;=Y38,X38,IF(K12&lt;=Y39,X39,IF(K12&lt;=Y40,X40,IF(K12&lt;=Y41,X41,IF(K12&lt;=Y42,X42,IF(K12&lt;=Y43,X43,IF(K12&lt;=Y44,X44,IF(K12&lt;=Y45,X45,IF(K12&lt;=Y46,X46,IF(K12&lt;=Y47,X47,IF(K12&lt;=Y48,X48,IF(K12&lt;=Y49,X49,IF(K12&lt;=Y50,X50,IF(K12&lt;=Y51,X51,IF(K12&lt;=Y52,X52,IF(K12&lt;=Y53,X53,IF(K12&lt;=Y54,X54,IF(K12&lt;=Y55,X55,IF(K12&lt;=Y56,X56,IF(K12&lt;=Y57,X57,IF(K12&lt;=Y58,X58,IF(K12&lt;=Y59,X59,IF(K12&lt;=Y60,X60,IF(K12&lt;=Y61,X61,IF(K12&lt;=Y62,X62,IF(K12&lt;=Y63,X63,IF(K12&lt;=Y64,X64,IF(K12&lt;=Y65,X65,IF(K12&lt;=Y66,X66,IF(K12&lt;=Y67,X67,IF(K12&lt;=Y68,X68,IF(K12&lt;=Y69,X69,"Error")))))))))))))))))))))))))))))))))))))))))))))))))))))))))</f>
        <v>1</v>
      </c>
      <c r="X32">
        <v>20</v>
      </c>
      <c r="Y32">
        <v>0.89999999999999991</v>
      </c>
      <c r="Z32">
        <v>404</v>
      </c>
      <c r="AA32">
        <f t="shared" si="0"/>
        <v>1.1140000000000001</v>
      </c>
      <c r="AB32">
        <v>500</v>
      </c>
      <c r="AC32">
        <f t="shared" si="1"/>
        <v>1.1200000000000001</v>
      </c>
      <c r="AD32">
        <f t="shared" si="2"/>
        <v>503</v>
      </c>
    </row>
    <row r="33" spans="8:30" x14ac:dyDescent="0.25">
      <c r="I33" t="s">
        <v>359</v>
      </c>
      <c r="J33">
        <f>IF(K13&lt;=Z13,X13,IF(K13&lt;=Z14,X14,IF(K13&lt;=Z15,X15,IF(K13&lt;=Z16,X16,IF(K13&lt;=Z17,X17,IF(K13&lt;=Z18,X18,IF(K13&lt;=Z19,X19,IF(K13&lt;=Z20,X20,IF(K13&lt;=Z21,X21,IF(K13&lt;=Z22,X22,IF(K13&lt;=Z23,X23,IF(K13&lt;=Z24,X24,IF(K13&lt;=Z25,X25,IF(K13&lt;=Z26,X26,IF(K13&lt;=Z27,X27,IF(K13&lt;=Z28,X28,IF(K13&lt;=Z29,X29,IF(K13&lt;=Z30,X30,IF(K13&lt;=Z31,X31,IF(K13&lt;=Z32,X32,IF(K13&lt;=Z33,X33,IF(K13&lt;=Z34,X34,IF(K13&lt;=Z35,X35,IF(K13&lt;=Z36,X36,IF(K13&lt;=Z37,X37,IF(K13&lt;=Z38,X38,IF(K13&lt;=Z39,X39,IF(K13&lt;=Z40,X40,IF(K13&lt;=Z41,X41,IF(K13&lt;=Z42,X42,IF(K13&lt;=Z43,X43,IF(K13&lt;=Z44,X44,IF(K13&lt;=Z45,X45,IF(K13&lt;=Z46,X46,IF(K13&lt;=Z47,X47,IF(K13&lt;=Z48,X48,IF(K13&lt;=Z49,X49,IF(K13&lt;=Z50,X50,IF(K13&lt;=Z51,X51,IF(K13&lt;=Z52,X52,IF(K13&lt;=Z53,X53,IF(K13&lt;=Z54,X54,IF(K13&lt;=Z55,X55,IF(K13&lt;=Z56,X56,IF(K13&lt;=Z57,X57,IF(K13&lt;=Z58,X58,IF(K13&lt;=Z59,X59,IF(K13&lt;=Z60,X60,IF(K13&lt;=Z61,X61,IF(K13&lt;=Z62,X62,IF(K13&lt;=Z63,X63,IF(K13&lt;=Z64,X64,IF(K13&lt;=Z65,X65,IF(K13&lt;=Z66,X66,IF(K13&lt;=Z67,X67,IF(K13&lt;=Z68,X68,IF(K13&lt;=Z69,X69,"Error")))))))))))))))))))))))))))))))))))))))))))))))))))))))))</f>
        <v>1</v>
      </c>
      <c r="L33" s="46" t="s">
        <v>284</v>
      </c>
      <c r="M33" s="6">
        <f>'2-Sizing'!R17</f>
        <v>1</v>
      </c>
      <c r="X33">
        <v>21</v>
      </c>
      <c r="Y33">
        <v>0.94499999999999995</v>
      </c>
      <c r="Z33">
        <v>424</v>
      </c>
      <c r="AA33">
        <f t="shared" si="0"/>
        <v>1.17</v>
      </c>
      <c r="AB33">
        <v>525</v>
      </c>
      <c r="AC33">
        <f t="shared" si="1"/>
        <v>1.1759999999999999</v>
      </c>
      <c r="AD33">
        <f t="shared" si="2"/>
        <v>528</v>
      </c>
    </row>
    <row r="34" spans="8:30" x14ac:dyDescent="0.25">
      <c r="H34" t="s">
        <v>366</v>
      </c>
      <c r="I34" t="s">
        <v>360</v>
      </c>
      <c r="J34">
        <f>IF(K12&lt;=AA13,X13,IF(K12&lt;=AA14,X14,IF(K12&lt;=AA15,X15,IF(K12&lt;=AA16,X16,IF(K12&lt;=AA17,X17,IF(K12&lt;=AA18,X18,IF(K12&lt;=AA19,X19,IF(K12&lt;=AA20,X20,IF(K12&lt;=AA21,X21,IF(K12&lt;=AA22,X22,IF(K12&lt;=AA23,X23,IF(K12&lt;=AA24,X24,IF(K12&lt;=AA25,X25,IF(K12&lt;=AA26,X26,IF(K12&lt;=AA27,X27,IF(K12&lt;=AA28,X28,IF(K12&lt;=AA29,X29,IF(K12&lt;=AA30,X30,IF(K12&lt;=AA31,X31,IF(K12&lt;=AA32,X32,IF(K12&lt;=AA33,X33,IF(K12&lt;=AA34,X34,IF(K12&lt;=AA35,X35,IF(K12&lt;=AA36,X36,IF(K12&lt;=AA37,X37,IF(K12&lt;=AA38,X38,IF(K12&lt;=AA39,X39,IF(K12&lt;=AA40,X40,IF(K12&lt;=AA41,X41,IF(K12&lt;=AA42,X42,IF(K12&lt;=AA43,X43,IF(K12&lt;=AA44,X44,IF(K12&lt;=AA45,X45,IF(K12&lt;=AA46,X46,IF(K12&lt;=AA47,X47,IF(K12&lt;=AA48,X48,IF(K12&lt;=AA49,X49,IF(K12&lt;=AA50,X50,IF(K12&lt;=AA51,X51,IF(K12&lt;=AA52,X52,IF(K12&lt;=AA53,X53,IF(K12&lt;=AA54,X54,IF(K12&lt;=AA55,X55,IF(K12&lt;=AA56,X56,IF(K12&lt;=AA57,X57,IF(K12&lt;=AA58,X58,IF(K12&lt;=AA59,X59,IF(K12&lt;=AA60,X60,IF(K12&lt;=AA61,X61,IF(K12&lt;=AA62,X62,IF(K12&lt;=AA63,X63,IF(K12&lt;=AA64,X64,IF(K12&lt;=AA65,X65,IF(K12&lt;=AA66,X66,IF(K12&lt;=AA67,X67,IF(K12&lt;=AA68,X68,IF(K12&lt;=AA69,X69,"Error")))))))))))))))))))))))))))))))))))))))))))))))))))))))))</f>
        <v>1</v>
      </c>
      <c r="L34" s="46" t="s">
        <v>113</v>
      </c>
      <c r="M34" s="6">
        <f>IF(L29=2,IF(L30=2,MAX(V20:V24),MAX(R20:R24)),MAX(M20:M24))</f>
        <v>1433</v>
      </c>
      <c r="N34">
        <f>ROUND(M34*0.002228009,3)</f>
        <v>3.1930000000000001</v>
      </c>
      <c r="X34">
        <v>22</v>
      </c>
      <c r="Y34">
        <v>0.99</v>
      </c>
      <c r="Z34">
        <v>444</v>
      </c>
      <c r="AA34">
        <f t="shared" si="0"/>
        <v>1.2250000000000001</v>
      </c>
      <c r="AB34">
        <v>550</v>
      </c>
      <c r="AC34">
        <f t="shared" si="1"/>
        <v>1.232</v>
      </c>
      <c r="AD34">
        <f t="shared" si="2"/>
        <v>553</v>
      </c>
    </row>
    <row r="35" spans="8:30" x14ac:dyDescent="0.25">
      <c r="I35" t="s">
        <v>361</v>
      </c>
      <c r="J35">
        <f>IF(K13&lt;=AB13,X13,IF(K13&lt;=AB14,X14,IF(K13&lt;=AB15,X15,IF(K13&lt;=AB16,X16,IF(K13&lt;=AB17,X17,IF(K13&lt;=AB18,X18,IF(K13&lt;=AB19,X19,IF(K13&lt;=AB20,X20,IF(K13&lt;=AB21,X21,IF(K13&lt;=AB22,X22,IF(K13&lt;=AB23,X23,IF(K13&lt;=AB24,X24,IF(K13&lt;=AB25,X25,IF(K13&lt;=AB26,X26,IF(K13&lt;=AB27,X27,IF(K13&lt;=AB28,X28,IF(K13&lt;=AB29,X29,IF(K13&lt;=AB30,X30,IF(K13&lt;=AB31,X31,IF(K13&lt;=AB32,X32,IF(K13&lt;=AB33,X33,IF(K13&lt;=AB34,X34,IF(K13&lt;=AB35,X35,IF(K13&lt;=AB36,X36,IF(K13&lt;=AB37,X37,IF(K13&lt;=AB38,X38,IF(K13&lt;=AB39,X39,IF(K13&lt;=AB40,X40,IF(K13&lt;=AB41,X41,IF(K13&lt;=AB42,X42,IF(K13&lt;=AB43,X43,IF(K13&lt;=AB44,X44,IF(K13&lt;=AB45,X45,IF(K13&lt;=AB46,X46,IF(K13&lt;=AB47,X47,IF(K13&lt;=AB48,X48,IF(K13&lt;=AB49,X49,IF(K13&lt;=AB50,X50,IF(K13&lt;=AB51,X51,IF(K13&lt;=AB52,X52,IF(K13&lt;=AB53,X53,IF(K13&lt;=AB54,X54,IF(K13&lt;=AB55,X55,IF(K13&lt;=AB56,X56,IF(K13&lt;=AB57,X57,IF(K13&lt;=AB58,X58,IF(K13&lt;=AB59,X59,IF(K13&lt;=AB60,X60,IF(K13&lt;=AB61,X61,IF(K13&lt;=AB62,X62,IF(K13&lt;=AB63,X63,IF(K13&lt;=AB64,X64,IF(K13&lt;=AB65,X65,IF(K13&lt;=AB66,X66,IF(K13&lt;=AB67,X67,IF(K13&lt;=AB68,X68,IF(K13&lt;=AB69,X69,"Error")))))))))))))))))))))))))))))))))))))))))))))))))))))))))</f>
        <v>1</v>
      </c>
      <c r="L35" s="46" t="s">
        <v>107</v>
      </c>
      <c r="M35">
        <f>M26</f>
        <v>4</v>
      </c>
      <c r="X35">
        <v>23</v>
      </c>
      <c r="Y35">
        <v>1.0349999999999999</v>
      </c>
      <c r="Z35">
        <v>465</v>
      </c>
      <c r="AA35">
        <f t="shared" si="0"/>
        <v>1.2809999999999999</v>
      </c>
      <c r="AB35">
        <v>575</v>
      </c>
      <c r="AC35">
        <f t="shared" si="1"/>
        <v>1.288</v>
      </c>
      <c r="AD35">
        <f t="shared" si="2"/>
        <v>578</v>
      </c>
    </row>
    <row r="36" spans="8:30" x14ac:dyDescent="0.25">
      <c r="H36" t="s">
        <v>367</v>
      </c>
      <c r="I36" t="s">
        <v>368</v>
      </c>
      <c r="J36">
        <f>IF(K12&lt;=AC13,X13,IF(K12&lt;=AC14,X14,IF(K12&lt;=AC15,X15,IF(K12&lt;=AC16,X16,IF(K12&lt;=AC17,X17,IF(K12&lt;=AC18,X18,IF(K12&lt;=AC19,X19,IF(K12&lt;=AC20,X20,IF(K12&lt;=AC21,X21,IF(K12&lt;=AC22,X22,IF(K12&lt;=AC23,X23,IF(K12&lt;=AC24,X24,IF(K12&lt;=AC25,X25,IF(K12&lt;=AC26,X26,IF(K12&lt;=AC27,X27,IF(K12&lt;=AC28,X28,IF(K12&lt;=AC29,X29,IF(K12&lt;=AC30,X30,IF(K12&lt;=AC31,X31,IF(K12&lt;=AC32,X32,IF(K12&lt;=AC33,X33,IF(K12&lt;=AC34,X34,IF(K12&lt;=AC35,X35,IF(K12&lt;=AC36,X36,IF(K12&lt;=AC37,X37,IF(K12&lt;=AC38,X38,IF(K12&lt;=AC39,X39,IF(K12&lt;=AC40,X40,IF(K12&lt;=AC41,X41,IF(K12&lt;=AC42,X42,IF(K12&lt;=AC43,X43,IF(K12&lt;=AC44,X44,IF(K12&lt;=AC45,X45,IF(K12&lt;=AC46,X46,IF(K12&lt;=AC47,X47,IF(K12&lt;=AC48,X48,IF(K12&lt;=AC49,X49,IF(K12&lt;=AC50,X50,IF(K12&lt;=AC51,X51,IF(K12&lt;=AC52,X52,IF(K12&lt;=AC53,X53,IF(K12&lt;=AC54,X54,IF(K12&lt;=AC55,X55,IF(K12&lt;=AC56,X56,IF(K12&lt;=AC57,X57,IF(K12&lt;=AC58,X58,IF(K12&lt;=AC59,X59,IF(K12&lt;=AC60,X60,IF(K12&lt;=AC61,X61,IF(K12&lt;=AC62,X62,IF(K12&lt;=AC63,X63,IF(K12&lt;=AC64,X64,IF(K12&lt;=AC65,X65,IF(K12&lt;=AC66,X66,IF(K12&lt;=AC67,X67,IF(K12&lt;=AC68,X68,IF(K12&lt;=AC69,X69,"Error")))))))))))))))))))))))))))))))))))))))))))))))))))))))))</f>
        <v>1</v>
      </c>
      <c r="L36" s="46" t="s">
        <v>285</v>
      </c>
      <c r="M36">
        <f>M26*12</f>
        <v>48</v>
      </c>
      <c r="X36">
        <v>24</v>
      </c>
      <c r="Y36">
        <v>1.08</v>
      </c>
      <c r="Z36">
        <v>485</v>
      </c>
      <c r="AA36">
        <f t="shared" si="0"/>
        <v>1.337</v>
      </c>
      <c r="AB36">
        <v>600</v>
      </c>
      <c r="AC36">
        <f t="shared" si="1"/>
        <v>1.3440000000000001</v>
      </c>
      <c r="AD36">
        <f t="shared" si="2"/>
        <v>603</v>
      </c>
    </row>
    <row r="37" spans="8:30" x14ac:dyDescent="0.25">
      <c r="I37" t="s">
        <v>361</v>
      </c>
      <c r="J37">
        <f>IF(K13&lt;=AD13,X13,IF(K13&lt;=AD14,X14,IF(K13&lt;=AD15,X15,IF(K13&lt;=AD16,X16,IF(K13&lt;=AD17,X17,IF(K13&lt;=AD18,X18,IF(K13&lt;=AD19,X19,IF(K13&lt;=AD20,X20,IF(K13&lt;=AD21,X21,IF(K13&lt;=AD22,X22,IF(K13&lt;=AD23,X23,IF(K13&lt;=AD24,X24,IF(K13&lt;=AD25,X25,IF(K13&lt;=AD26,X26,IF(K13&lt;=AD27,X27,IF(K13&lt;=AD28,X28,IF(K13&lt;=AD29,X29,IF(K13&lt;=AD30,X30,IF(K13&lt;=AD31,X31,IF(K13&lt;=AD32,X32,IF(K13&lt;=AD33,X33,IF(K13&lt;=AD34,X34,IF(K13&lt;=AD35,X35,IF(K13&lt;=AD36,X36,IF(K13&lt;=AD37,X37,IF(K13&lt;=AD38,X38,IF(K13&lt;=AD39,X39,IF(K13&lt;=AD40,X40,IF(K13&lt;=AD41,X41,IF(K13&lt;=AD42,X42,IF(K13&lt;=AD43,X43,IF(K13&lt;=AD44,X44,IF(K13&lt;=AD45,X45,IF(K13&lt;=AD46,X46,IF(K13&lt;=AD47,X47,IF(K13&lt;=AD48,X48,IF(K13&lt;=AD49,X49,IF(K13&lt;=AD50,X50,IF(K13&lt;=AD51,X51,IF(K13&lt;=AD52,X52,IF(K13&lt;=AD53,X53,IF(K13&lt;=AD54,X54,IF(K13&lt;=AD55,X55,IF(K13&lt;=AD56,X56,IF(K13&lt;=AD57,X57,IF(K13&lt;=AD58,X58,IF(K13&lt;=AD59,X59,IF(K13&lt;=AD60,X60,IF(K13&lt;=AD61,X61,IF(K13&lt;=AD62,X62,IF(K13&lt;=AD63,X63,IF(K13&lt;=AD64,X64,IF(K13&lt;=AD65,X65,IF(K13&lt;=AD66,X66,IF(K13&lt;=AD67,X67,IF(K13&lt;=AD68,X68,IF(K13&lt;=AD69,X69,"Error")))))))))))))))))))))))))))))))))))))))))))))))))))))))))</f>
        <v>1</v>
      </c>
      <c r="L37" s="46" t="s">
        <v>286</v>
      </c>
      <c r="M37" t="str">
        <f>IF(M35=L20," ", IF(M35=L21,N21,IF(M35=L22,N22,IF(M35=L23,N23,IF(M35=L24,N24,0)))))</f>
        <v xml:space="preserve"> </v>
      </c>
      <c r="X37">
        <v>25</v>
      </c>
      <c r="Y37">
        <v>1.125</v>
      </c>
      <c r="Z37">
        <v>505</v>
      </c>
      <c r="AA37">
        <f t="shared" si="0"/>
        <v>1.393</v>
      </c>
      <c r="AB37">
        <v>625</v>
      </c>
      <c r="AC37">
        <f t="shared" si="1"/>
        <v>1.4000000000000001</v>
      </c>
      <c r="AD37">
        <f t="shared" si="2"/>
        <v>628</v>
      </c>
    </row>
    <row r="38" spans="8:30" x14ac:dyDescent="0.25">
      <c r="X38">
        <v>26</v>
      </c>
      <c r="Y38">
        <v>1.17</v>
      </c>
      <c r="Z38">
        <v>525</v>
      </c>
      <c r="AA38">
        <f t="shared" si="0"/>
        <v>1.448</v>
      </c>
      <c r="AB38">
        <v>650</v>
      </c>
      <c r="AC38">
        <f t="shared" si="1"/>
        <v>1.456</v>
      </c>
      <c r="AD38">
        <f t="shared" si="2"/>
        <v>653</v>
      </c>
    </row>
    <row r="39" spans="8:30" x14ac:dyDescent="0.25">
      <c r="X39">
        <v>27</v>
      </c>
      <c r="Y39">
        <v>1.2149999999999999</v>
      </c>
      <c r="Z39">
        <v>545</v>
      </c>
      <c r="AA39">
        <f t="shared" si="0"/>
        <v>1.504</v>
      </c>
      <c r="AB39">
        <v>675</v>
      </c>
      <c r="AC39">
        <f t="shared" si="1"/>
        <v>1.512</v>
      </c>
      <c r="AD39">
        <f t="shared" si="2"/>
        <v>679</v>
      </c>
    </row>
    <row r="40" spans="8:30" x14ac:dyDescent="0.25">
      <c r="X40">
        <v>28</v>
      </c>
      <c r="Y40">
        <v>1.26</v>
      </c>
      <c r="Z40">
        <v>566</v>
      </c>
      <c r="AA40">
        <f t="shared" si="0"/>
        <v>1.56</v>
      </c>
      <c r="AB40">
        <v>700</v>
      </c>
      <c r="AC40">
        <f t="shared" si="1"/>
        <v>1.5680000000000001</v>
      </c>
      <c r="AD40">
        <f t="shared" si="2"/>
        <v>704</v>
      </c>
    </row>
    <row r="41" spans="8:30" x14ac:dyDescent="0.25">
      <c r="X41">
        <v>29</v>
      </c>
      <c r="Y41">
        <v>1.3049999999999999</v>
      </c>
      <c r="Z41">
        <v>586</v>
      </c>
      <c r="AA41">
        <f t="shared" si="0"/>
        <v>1.615</v>
      </c>
      <c r="AB41">
        <v>725</v>
      </c>
      <c r="AC41">
        <f t="shared" si="1"/>
        <v>1.6240000000000001</v>
      </c>
      <c r="AD41">
        <f t="shared" si="2"/>
        <v>729</v>
      </c>
    </row>
    <row r="42" spans="8:30" x14ac:dyDescent="0.25">
      <c r="X42">
        <v>30</v>
      </c>
      <c r="Y42">
        <v>1.3499999999999999</v>
      </c>
      <c r="Z42">
        <v>606</v>
      </c>
      <c r="AA42">
        <f t="shared" si="0"/>
        <v>1.671</v>
      </c>
      <c r="AB42">
        <v>750</v>
      </c>
      <c r="AC42">
        <f t="shared" si="1"/>
        <v>1.68</v>
      </c>
      <c r="AD42">
        <f t="shared" si="2"/>
        <v>754</v>
      </c>
    </row>
    <row r="43" spans="8:30" x14ac:dyDescent="0.25">
      <c r="X43">
        <v>31</v>
      </c>
      <c r="Y43">
        <v>1.395</v>
      </c>
      <c r="Z43">
        <v>626</v>
      </c>
      <c r="AA43">
        <f t="shared" si="0"/>
        <v>1.7270000000000001</v>
      </c>
      <c r="AB43">
        <v>775</v>
      </c>
      <c r="AC43">
        <f t="shared" si="1"/>
        <v>1.736</v>
      </c>
      <c r="AD43">
        <f t="shared" si="2"/>
        <v>779</v>
      </c>
    </row>
    <row r="44" spans="8:30" x14ac:dyDescent="0.25">
      <c r="X44">
        <v>32</v>
      </c>
      <c r="Y44">
        <v>1.44</v>
      </c>
      <c r="Z44">
        <v>646</v>
      </c>
      <c r="AA44">
        <f t="shared" si="0"/>
        <v>1.782</v>
      </c>
      <c r="AB44">
        <v>800</v>
      </c>
      <c r="AC44">
        <f t="shared" si="1"/>
        <v>1.792</v>
      </c>
      <c r="AD44">
        <f t="shared" si="2"/>
        <v>804</v>
      </c>
    </row>
    <row r="45" spans="8:30" x14ac:dyDescent="0.25">
      <c r="X45">
        <v>33</v>
      </c>
      <c r="Y45">
        <v>1.4849999999999999</v>
      </c>
      <c r="Z45">
        <v>667</v>
      </c>
      <c r="AA45">
        <f t="shared" si="0"/>
        <v>1.8380000000000001</v>
      </c>
      <c r="AB45">
        <v>825</v>
      </c>
      <c r="AC45">
        <f t="shared" si="1"/>
        <v>1.8480000000000001</v>
      </c>
      <c r="AD45">
        <f t="shared" si="2"/>
        <v>829</v>
      </c>
    </row>
    <row r="46" spans="8:30" x14ac:dyDescent="0.25">
      <c r="X46">
        <v>34</v>
      </c>
      <c r="Y46">
        <v>1.53</v>
      </c>
      <c r="Z46">
        <v>687</v>
      </c>
      <c r="AA46">
        <f t="shared" si="0"/>
        <v>1.8939999999999999</v>
      </c>
      <c r="AB46">
        <v>850</v>
      </c>
      <c r="AC46">
        <f t="shared" si="1"/>
        <v>1.9040000000000001</v>
      </c>
      <c r="AD46">
        <f t="shared" si="2"/>
        <v>855</v>
      </c>
    </row>
    <row r="47" spans="8:30" x14ac:dyDescent="0.25">
      <c r="X47">
        <v>35</v>
      </c>
      <c r="Y47">
        <v>1.575</v>
      </c>
      <c r="Z47">
        <v>707</v>
      </c>
      <c r="AA47">
        <f t="shared" si="0"/>
        <v>1.95</v>
      </c>
      <c r="AB47">
        <v>875</v>
      </c>
      <c r="AC47">
        <f t="shared" si="1"/>
        <v>1.96</v>
      </c>
      <c r="AD47">
        <f t="shared" si="2"/>
        <v>880</v>
      </c>
    </row>
    <row r="48" spans="8:30" x14ac:dyDescent="0.25">
      <c r="X48">
        <v>36</v>
      </c>
      <c r="Y48">
        <v>1.6199999999999999</v>
      </c>
      <c r="Z48">
        <v>727</v>
      </c>
      <c r="AA48">
        <f t="shared" si="0"/>
        <v>2.0049999999999999</v>
      </c>
      <c r="AB48">
        <v>900</v>
      </c>
      <c r="AC48">
        <f t="shared" si="1"/>
        <v>2.016</v>
      </c>
      <c r="AD48">
        <f t="shared" si="2"/>
        <v>905</v>
      </c>
    </row>
    <row r="49" spans="24:30" x14ac:dyDescent="0.25">
      <c r="X49">
        <v>37</v>
      </c>
      <c r="Y49">
        <v>1.665</v>
      </c>
      <c r="Z49">
        <v>747</v>
      </c>
      <c r="AA49">
        <f t="shared" si="0"/>
        <v>2.0609999999999999</v>
      </c>
      <c r="AB49">
        <v>925</v>
      </c>
      <c r="AC49">
        <f t="shared" si="1"/>
        <v>2.0720000000000001</v>
      </c>
      <c r="AD49">
        <f t="shared" si="2"/>
        <v>930</v>
      </c>
    </row>
    <row r="50" spans="24:30" x14ac:dyDescent="0.25">
      <c r="X50">
        <v>38</v>
      </c>
      <c r="Y50">
        <v>1.71</v>
      </c>
      <c r="Z50">
        <v>768</v>
      </c>
      <c r="AA50">
        <f t="shared" si="0"/>
        <v>2.117</v>
      </c>
      <c r="AB50">
        <v>950</v>
      </c>
      <c r="AC50">
        <f t="shared" si="1"/>
        <v>2.1280000000000001</v>
      </c>
      <c r="AD50">
        <f t="shared" si="2"/>
        <v>955</v>
      </c>
    </row>
    <row r="51" spans="24:30" x14ac:dyDescent="0.25">
      <c r="X51">
        <v>39</v>
      </c>
      <c r="Y51">
        <v>1.7549999999999999</v>
      </c>
      <c r="Z51">
        <v>788</v>
      </c>
      <c r="AA51">
        <f t="shared" si="0"/>
        <v>2.1720000000000002</v>
      </c>
      <c r="AB51">
        <v>975</v>
      </c>
      <c r="AC51">
        <f t="shared" si="1"/>
        <v>2.1840000000000002</v>
      </c>
      <c r="AD51">
        <f t="shared" si="2"/>
        <v>980</v>
      </c>
    </row>
    <row r="52" spans="24:30" x14ac:dyDescent="0.25">
      <c r="X52">
        <v>40</v>
      </c>
      <c r="Y52">
        <v>1.7999999999999998</v>
      </c>
      <c r="Z52">
        <v>808</v>
      </c>
      <c r="AA52">
        <f t="shared" si="0"/>
        <v>2.2280000000000002</v>
      </c>
      <c r="AB52">
        <v>1000</v>
      </c>
      <c r="AC52">
        <f t="shared" si="1"/>
        <v>2.2400000000000002</v>
      </c>
      <c r="AD52">
        <f t="shared" si="2"/>
        <v>1005</v>
      </c>
    </row>
    <row r="53" spans="24:30" x14ac:dyDescent="0.25">
      <c r="X53">
        <v>41</v>
      </c>
      <c r="Y53">
        <v>1.845</v>
      </c>
      <c r="Z53">
        <v>828</v>
      </c>
      <c r="AA53">
        <f t="shared" si="0"/>
        <v>2.2839999999999998</v>
      </c>
      <c r="AB53">
        <v>1025</v>
      </c>
      <c r="AC53">
        <f t="shared" si="1"/>
        <v>2.2960000000000003</v>
      </c>
      <c r="AD53">
        <f t="shared" si="2"/>
        <v>1030</v>
      </c>
    </row>
    <row r="54" spans="24:30" x14ac:dyDescent="0.25">
      <c r="X54">
        <v>42</v>
      </c>
      <c r="Y54">
        <v>1.89</v>
      </c>
      <c r="Z54">
        <v>848</v>
      </c>
      <c r="AA54">
        <f t="shared" si="0"/>
        <v>2.339</v>
      </c>
      <c r="AB54">
        <v>1050</v>
      </c>
      <c r="AC54">
        <f t="shared" si="1"/>
        <v>2.3519999999999999</v>
      </c>
      <c r="AD54">
        <f t="shared" si="2"/>
        <v>1056</v>
      </c>
    </row>
    <row r="55" spans="24:30" x14ac:dyDescent="0.25">
      <c r="X55">
        <v>43</v>
      </c>
      <c r="Y55">
        <v>1.9349999999999998</v>
      </c>
      <c r="Z55">
        <v>869</v>
      </c>
      <c r="AA55">
        <f t="shared" si="0"/>
        <v>2.395</v>
      </c>
      <c r="AB55">
        <v>1075</v>
      </c>
      <c r="AC55">
        <f t="shared" si="1"/>
        <v>2.4079999999999999</v>
      </c>
      <c r="AD55">
        <f t="shared" si="2"/>
        <v>1081</v>
      </c>
    </row>
    <row r="56" spans="24:30" x14ac:dyDescent="0.25">
      <c r="X56">
        <v>44</v>
      </c>
      <c r="Y56">
        <v>1.98</v>
      </c>
      <c r="Z56">
        <v>889</v>
      </c>
      <c r="AA56">
        <f t="shared" si="0"/>
        <v>2.4510000000000001</v>
      </c>
      <c r="AB56">
        <v>1100</v>
      </c>
      <c r="AC56">
        <f t="shared" si="1"/>
        <v>2.464</v>
      </c>
      <c r="AD56">
        <f t="shared" si="2"/>
        <v>1106</v>
      </c>
    </row>
    <row r="57" spans="24:30" x14ac:dyDescent="0.25">
      <c r="X57">
        <v>45</v>
      </c>
      <c r="Y57">
        <v>2.0249999999999999</v>
      </c>
      <c r="Z57">
        <v>909</v>
      </c>
      <c r="AA57">
        <f t="shared" si="0"/>
        <v>2.5070000000000001</v>
      </c>
      <c r="AB57">
        <v>1125</v>
      </c>
      <c r="AC57">
        <f t="shared" si="1"/>
        <v>2.52</v>
      </c>
      <c r="AD57">
        <f t="shared" si="2"/>
        <v>1131</v>
      </c>
    </row>
    <row r="58" spans="24:30" x14ac:dyDescent="0.25">
      <c r="X58">
        <v>46</v>
      </c>
      <c r="Y58">
        <v>2.0699999999999998</v>
      </c>
      <c r="Z58">
        <v>929</v>
      </c>
      <c r="AA58">
        <f t="shared" si="0"/>
        <v>2.5619999999999998</v>
      </c>
      <c r="AB58">
        <v>1150</v>
      </c>
      <c r="AC58">
        <f t="shared" si="1"/>
        <v>2.5760000000000001</v>
      </c>
      <c r="AD58">
        <f t="shared" si="2"/>
        <v>1156</v>
      </c>
    </row>
    <row r="59" spans="24:30" x14ac:dyDescent="0.25">
      <c r="X59">
        <v>47</v>
      </c>
      <c r="Y59">
        <v>2.1149999999999998</v>
      </c>
      <c r="Z59">
        <v>949</v>
      </c>
      <c r="AA59">
        <f t="shared" si="0"/>
        <v>2.6179999999999999</v>
      </c>
      <c r="AB59">
        <v>1175</v>
      </c>
      <c r="AC59">
        <f t="shared" si="1"/>
        <v>2.6320000000000001</v>
      </c>
      <c r="AD59">
        <f t="shared" si="2"/>
        <v>1181</v>
      </c>
    </row>
    <row r="60" spans="24:30" x14ac:dyDescent="0.25">
      <c r="X60">
        <v>48</v>
      </c>
      <c r="Y60">
        <v>2.16</v>
      </c>
      <c r="Z60">
        <v>970</v>
      </c>
      <c r="AA60">
        <f t="shared" si="0"/>
        <v>2.6739999999999999</v>
      </c>
      <c r="AB60">
        <v>1200</v>
      </c>
      <c r="AC60">
        <f t="shared" si="1"/>
        <v>2.6880000000000002</v>
      </c>
      <c r="AD60">
        <f t="shared" si="2"/>
        <v>1206</v>
      </c>
    </row>
    <row r="61" spans="24:30" x14ac:dyDescent="0.25">
      <c r="X61">
        <v>49</v>
      </c>
      <c r="Y61">
        <v>2.2050000000000001</v>
      </c>
      <c r="Z61">
        <v>990</v>
      </c>
      <c r="AA61">
        <f t="shared" si="0"/>
        <v>2.7290000000000001</v>
      </c>
      <c r="AB61">
        <v>1225</v>
      </c>
      <c r="AC61">
        <f t="shared" si="1"/>
        <v>2.7440000000000002</v>
      </c>
      <c r="AD61">
        <f t="shared" si="2"/>
        <v>1232</v>
      </c>
    </row>
    <row r="62" spans="24:30" x14ac:dyDescent="0.25">
      <c r="X62">
        <v>50</v>
      </c>
      <c r="Y62">
        <v>2.25</v>
      </c>
      <c r="Z62">
        <v>1010</v>
      </c>
      <c r="AA62">
        <f t="shared" si="0"/>
        <v>2.7850000000000001</v>
      </c>
      <c r="AB62">
        <v>1250</v>
      </c>
      <c r="AC62">
        <f t="shared" si="1"/>
        <v>2.8000000000000003</v>
      </c>
      <c r="AD62">
        <f t="shared" si="2"/>
        <v>1257</v>
      </c>
    </row>
    <row r="63" spans="24:30" x14ac:dyDescent="0.25">
      <c r="X63">
        <v>51</v>
      </c>
      <c r="Y63">
        <v>2.2949999999999999</v>
      </c>
      <c r="Z63">
        <v>1030</v>
      </c>
      <c r="AA63">
        <f t="shared" si="0"/>
        <v>2.8410000000000002</v>
      </c>
      <c r="AB63">
        <v>1275</v>
      </c>
      <c r="AC63">
        <f t="shared" si="1"/>
        <v>2.8559999999999999</v>
      </c>
      <c r="AD63">
        <f t="shared" si="2"/>
        <v>1282</v>
      </c>
    </row>
    <row r="64" spans="24:30" x14ac:dyDescent="0.25">
      <c r="X64">
        <v>52</v>
      </c>
      <c r="Y64">
        <v>2.34</v>
      </c>
      <c r="Z64">
        <v>1050</v>
      </c>
      <c r="AA64">
        <f t="shared" si="0"/>
        <v>2.8959999999999999</v>
      </c>
      <c r="AB64">
        <v>1300</v>
      </c>
      <c r="AC64">
        <f t="shared" si="1"/>
        <v>2.9119999999999999</v>
      </c>
      <c r="AD64">
        <f t="shared" si="2"/>
        <v>1307</v>
      </c>
    </row>
    <row r="65" spans="24:30" x14ac:dyDescent="0.25">
      <c r="X65">
        <v>53</v>
      </c>
      <c r="Y65">
        <v>2.3849999999999998</v>
      </c>
      <c r="Z65">
        <v>1071</v>
      </c>
      <c r="AA65">
        <f t="shared" si="0"/>
        <v>2.952</v>
      </c>
      <c r="AB65">
        <v>1325</v>
      </c>
      <c r="AC65">
        <f t="shared" si="1"/>
        <v>2.968</v>
      </c>
      <c r="AD65">
        <f t="shared" si="2"/>
        <v>1332</v>
      </c>
    </row>
    <row r="66" spans="24:30" x14ac:dyDescent="0.25">
      <c r="X66">
        <v>54</v>
      </c>
      <c r="Y66">
        <v>2.4299999999999997</v>
      </c>
      <c r="Z66">
        <v>1091</v>
      </c>
      <c r="AA66">
        <f t="shared" si="0"/>
        <v>3.008</v>
      </c>
      <c r="AB66">
        <v>1350</v>
      </c>
      <c r="AC66">
        <f t="shared" si="1"/>
        <v>3.024</v>
      </c>
      <c r="AD66">
        <f t="shared" si="2"/>
        <v>1357</v>
      </c>
    </row>
    <row r="67" spans="24:30" x14ac:dyDescent="0.25">
      <c r="X67">
        <v>55</v>
      </c>
      <c r="Y67">
        <v>2.4750000000000001</v>
      </c>
      <c r="Z67">
        <v>1111</v>
      </c>
      <c r="AA67">
        <f t="shared" si="0"/>
        <v>3.0640000000000001</v>
      </c>
      <c r="AB67">
        <v>1375</v>
      </c>
      <c r="AC67">
        <f t="shared" si="1"/>
        <v>3.08</v>
      </c>
      <c r="AD67">
        <f t="shared" si="2"/>
        <v>1382</v>
      </c>
    </row>
    <row r="68" spans="24:30" x14ac:dyDescent="0.25">
      <c r="X68">
        <v>56</v>
      </c>
      <c r="Y68">
        <v>2.52</v>
      </c>
      <c r="Z68">
        <v>1131</v>
      </c>
      <c r="AA68">
        <f t="shared" si="0"/>
        <v>3.1190000000000002</v>
      </c>
      <c r="AB68">
        <v>1400</v>
      </c>
      <c r="AC68">
        <f t="shared" si="1"/>
        <v>3.1360000000000001</v>
      </c>
      <c r="AD68">
        <f t="shared" si="2"/>
        <v>1407</v>
      </c>
    </row>
    <row r="69" spans="24:30" x14ac:dyDescent="0.25">
      <c r="X69">
        <v>57</v>
      </c>
      <c r="Y69">
        <v>2.5649999999999999</v>
      </c>
      <c r="Z69">
        <v>1151</v>
      </c>
      <c r="AA69">
        <f t="shared" si="0"/>
        <v>3.1749999999999998</v>
      </c>
      <c r="AB69">
        <v>1425</v>
      </c>
      <c r="AC69">
        <f t="shared" si="1"/>
        <v>3.1920000000000002</v>
      </c>
      <c r="AD69">
        <f t="shared" si="2"/>
        <v>1433</v>
      </c>
    </row>
  </sheetData>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L53"/>
  <sheetViews>
    <sheetView showRowColHeaders="0" workbookViewId="0">
      <selection activeCell="E10" sqref="E10"/>
    </sheetView>
  </sheetViews>
  <sheetFormatPr defaultRowHeight="15" x14ac:dyDescent="0.25"/>
  <cols>
    <col min="1" max="1" width="13" customWidth="1"/>
    <col min="2" max="2" width="5.5703125" customWidth="1"/>
    <col min="3" max="3" width="4.42578125" bestFit="1" customWidth="1"/>
    <col min="4" max="4" width="7.7109375" customWidth="1"/>
    <col min="5" max="5" width="7.140625" customWidth="1"/>
    <col min="9" max="9" width="7.140625" customWidth="1"/>
    <col min="10" max="10" width="16.5703125" customWidth="1"/>
    <col min="11" max="11" width="49.7109375" customWidth="1"/>
    <col min="12" max="38" width="9.140625" style="177"/>
  </cols>
  <sheetData>
    <row r="1" spans="1:38" x14ac:dyDescent="0.25">
      <c r="A1" s="382"/>
      <c r="B1" s="383"/>
      <c r="C1" s="383"/>
      <c r="D1" s="383"/>
      <c r="E1" s="383"/>
      <c r="F1" s="383"/>
      <c r="G1" s="383"/>
      <c r="H1" s="383"/>
      <c r="I1" s="383"/>
      <c r="J1" s="383"/>
      <c r="K1" s="384"/>
    </row>
    <row r="2" spans="1:38" x14ac:dyDescent="0.25">
      <c r="A2" s="385"/>
      <c r="B2" s="386"/>
      <c r="C2" s="386"/>
      <c r="D2" s="386"/>
      <c r="E2" s="386"/>
      <c r="F2" s="386"/>
      <c r="G2" s="386"/>
      <c r="H2" s="386"/>
      <c r="I2" s="386"/>
      <c r="J2" s="386"/>
      <c r="K2" s="387"/>
    </row>
    <row r="3" spans="1:38" x14ac:dyDescent="0.25">
      <c r="A3" s="385"/>
      <c r="B3" s="386"/>
      <c r="C3" s="386"/>
      <c r="D3" s="386"/>
      <c r="E3" s="386"/>
      <c r="F3" s="386"/>
      <c r="G3" s="386"/>
      <c r="H3" s="386"/>
      <c r="I3" s="386"/>
      <c r="J3" s="386"/>
      <c r="K3" s="387"/>
    </row>
    <row r="4" spans="1:38" x14ac:dyDescent="0.25">
      <c r="A4" s="385"/>
      <c r="B4" s="386"/>
      <c r="C4" s="386"/>
      <c r="D4" s="386"/>
      <c r="E4" s="386"/>
      <c r="F4" s="386"/>
      <c r="G4" s="386"/>
      <c r="H4" s="386"/>
      <c r="I4" s="386"/>
      <c r="J4" s="386"/>
      <c r="K4" s="387"/>
    </row>
    <row r="5" spans="1:38" x14ac:dyDescent="0.25">
      <c r="A5" s="385"/>
      <c r="B5" s="386"/>
      <c r="C5" s="386"/>
      <c r="D5" s="386"/>
      <c r="E5" s="386"/>
      <c r="F5" s="386"/>
      <c r="G5" s="386"/>
      <c r="H5" s="386"/>
      <c r="I5" s="386"/>
      <c r="J5" s="386"/>
      <c r="K5" s="387"/>
    </row>
    <row r="6" spans="1:38" x14ac:dyDescent="0.25">
      <c r="A6" s="94"/>
      <c r="B6" s="388"/>
      <c r="C6" s="388"/>
      <c r="D6" s="388"/>
      <c r="E6" s="388"/>
      <c r="F6" s="388"/>
      <c r="G6" s="388"/>
      <c r="H6" s="388"/>
      <c r="I6" s="388"/>
      <c r="J6" s="388"/>
      <c r="K6" s="389"/>
    </row>
    <row r="7" spans="1:38" s="167" customFormat="1" ht="18" x14ac:dyDescent="0.25">
      <c r="A7" s="164"/>
      <c r="B7" s="256" t="s">
        <v>334</v>
      </c>
      <c r="C7" s="161"/>
      <c r="D7" s="161"/>
      <c r="E7" s="161"/>
      <c r="F7" s="161"/>
      <c r="G7" s="161"/>
      <c r="H7" s="95"/>
      <c r="I7" s="170"/>
      <c r="J7" s="165"/>
      <c r="K7" s="166"/>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s="167" customFormat="1" ht="18" x14ac:dyDescent="0.25">
      <c r="A8" s="164"/>
      <c r="B8" s="152"/>
      <c r="C8" s="161"/>
      <c r="D8" s="161"/>
      <c r="E8" s="161"/>
      <c r="F8" s="161"/>
      <c r="G8" s="161"/>
      <c r="H8" s="95"/>
      <c r="I8" s="170"/>
      <c r="J8" s="165"/>
      <c r="K8" s="166"/>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s="172" customFormat="1" ht="12.75" x14ac:dyDescent="0.2">
      <c r="A9" s="164"/>
      <c r="D9" s="257" t="s">
        <v>235</v>
      </c>
      <c r="E9" s="372" t="s">
        <v>236</v>
      </c>
      <c r="F9" s="258" t="s">
        <v>335</v>
      </c>
      <c r="G9" s="163"/>
      <c r="H9" s="169"/>
      <c r="I9" s="170"/>
      <c r="J9" s="223"/>
      <c r="K9" s="219"/>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s="172" customFormat="1" ht="12.75" x14ac:dyDescent="0.2">
      <c r="A10" s="164"/>
      <c r="B10" s="215"/>
      <c r="C10" s="216"/>
      <c r="D10" s="217"/>
      <c r="E10" s="163"/>
      <c r="F10" s="163"/>
      <c r="G10" s="163"/>
      <c r="H10" s="169"/>
      <c r="I10" s="170"/>
      <c r="K10" s="219"/>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s="175" customFormat="1" x14ac:dyDescent="0.25">
      <c r="A11" s="173"/>
      <c r="B11" s="155"/>
      <c r="C11" s="168"/>
      <c r="D11" s="168"/>
      <c r="E11" s="168"/>
      <c r="F11" s="218"/>
      <c r="G11" s="168"/>
      <c r="H11" s="168"/>
      <c r="I11" s="168"/>
      <c r="J11" s="168"/>
      <c r="K11" s="174"/>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row>
    <row r="12" spans="1:38" s="175" customFormat="1" ht="41.25" customHeight="1" x14ac:dyDescent="0.2">
      <c r="A12" s="173"/>
      <c r="B12" s="155"/>
      <c r="C12" s="168"/>
      <c r="D12" s="168"/>
      <c r="E12" s="224" t="s">
        <v>241</v>
      </c>
      <c r="F12" s="168"/>
      <c r="G12" s="168"/>
      <c r="H12" s="168"/>
      <c r="I12" s="168"/>
      <c r="J12" s="168"/>
      <c r="K12" s="174"/>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row>
    <row r="13" spans="1:38" s="2" customFormat="1" x14ac:dyDescent="0.25">
      <c r="A13" s="156"/>
      <c r="D13" s="220"/>
      <c r="E13" s="3"/>
      <c r="F13" s="3"/>
      <c r="G13" s="3"/>
      <c r="H13" s="3"/>
      <c r="I13" s="3"/>
      <c r="J13" s="168"/>
      <c r="K13" s="15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row>
    <row r="14" spans="1:38" s="175" customFormat="1" ht="12" x14ac:dyDescent="0.2">
      <c r="A14" s="173"/>
      <c r="B14" s="176"/>
      <c r="C14" s="168"/>
      <c r="D14" s="168"/>
      <c r="E14" s="168"/>
      <c r="F14" s="168"/>
      <c r="G14" s="168"/>
      <c r="H14" s="168"/>
      <c r="I14" s="168"/>
      <c r="J14" s="168"/>
      <c r="K14" s="174"/>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row>
    <row r="15" spans="1:38" s="175" customFormat="1" ht="12" x14ac:dyDescent="0.2">
      <c r="A15" s="173"/>
      <c r="B15" s="168"/>
      <c r="C15" s="168"/>
      <c r="D15" s="168"/>
      <c r="F15" s="168"/>
      <c r="G15" s="168"/>
      <c r="H15" s="168"/>
      <c r="I15" s="168"/>
      <c r="J15" s="168"/>
      <c r="K15" s="174"/>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row>
    <row r="16" spans="1:38" s="175" customFormat="1" ht="12" x14ac:dyDescent="0.2">
      <c r="A16" s="173"/>
      <c r="B16" s="168"/>
      <c r="C16" s="168"/>
      <c r="D16" s="168"/>
      <c r="F16" s="168"/>
      <c r="G16" s="168"/>
      <c r="H16" s="168"/>
      <c r="I16" s="168"/>
      <c r="J16" s="168"/>
      <c r="K16" s="174"/>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row>
    <row r="17" spans="1:38" s="2" customFormat="1" x14ac:dyDescent="0.25">
      <c r="A17" s="156"/>
      <c r="B17" s="3"/>
      <c r="C17" s="3"/>
      <c r="D17" s="3"/>
      <c r="E17" s="180"/>
      <c r="F17" s="3"/>
      <c r="G17" s="3"/>
      <c r="H17" s="3"/>
      <c r="I17" s="3"/>
      <c r="J17" s="3"/>
      <c r="K17" s="15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row>
    <row r="18" spans="1:38" s="2" customFormat="1" x14ac:dyDescent="0.25">
      <c r="A18" s="156"/>
      <c r="B18" s="222"/>
      <c r="C18" s="194"/>
      <c r="D18" s="3"/>
      <c r="F18" s="3"/>
      <c r="G18" s="3"/>
      <c r="H18" s="3"/>
      <c r="I18" s="3"/>
      <c r="J18" s="3"/>
      <c r="K18" s="15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row>
    <row r="19" spans="1:38" s="2" customFormat="1" x14ac:dyDescent="0.25">
      <c r="A19" s="156"/>
      <c r="B19" s="221"/>
      <c r="C19" s="194"/>
      <c r="D19" s="3"/>
      <c r="E19" s="3"/>
      <c r="F19" s="3"/>
      <c r="G19" s="3"/>
      <c r="H19" s="3"/>
      <c r="I19" s="3"/>
      <c r="J19" s="3"/>
      <c r="K19" s="15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row>
    <row r="20" spans="1:38" s="2" customFormat="1" x14ac:dyDescent="0.25">
      <c r="A20" s="156"/>
      <c r="B20" s="221"/>
      <c r="C20" s="194"/>
      <c r="D20" s="3"/>
      <c r="E20" s="3"/>
      <c r="F20" s="3"/>
      <c r="G20" s="3"/>
      <c r="H20" s="3"/>
      <c r="I20" s="3"/>
      <c r="J20" s="3"/>
      <c r="K20" s="15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row>
    <row r="21" spans="1:38" s="2" customFormat="1" x14ac:dyDescent="0.25">
      <c r="A21" s="156"/>
      <c r="B21" s="221"/>
      <c r="C21" s="194"/>
      <c r="D21" s="3"/>
      <c r="E21" s="3"/>
      <c r="F21" s="3"/>
      <c r="G21" s="3"/>
      <c r="H21" s="3"/>
      <c r="I21" s="3"/>
      <c r="J21" s="3"/>
      <c r="K21" s="15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row>
    <row r="22" spans="1:38" s="2" customFormat="1" x14ac:dyDescent="0.25">
      <c r="A22" s="156"/>
      <c r="B22" s="221"/>
      <c r="C22" s="194"/>
      <c r="D22" s="3"/>
      <c r="E22" s="3"/>
      <c r="F22" s="3"/>
      <c r="G22" s="3"/>
      <c r="H22" s="3"/>
      <c r="I22" s="3"/>
      <c r="J22" s="3"/>
      <c r="K22" s="15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row>
    <row r="23" spans="1:38" s="2" customFormat="1" ht="15.75" thickBot="1" x14ac:dyDescent="0.3">
      <c r="A23" s="158"/>
      <c r="B23" s="159"/>
      <c r="C23" s="159"/>
      <c r="D23" s="159"/>
      <c r="E23" s="159"/>
      <c r="F23" s="159"/>
      <c r="G23" s="159"/>
      <c r="H23" s="159"/>
      <c r="I23" s="159"/>
      <c r="J23" s="159"/>
      <c r="K23" s="160"/>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row>
    <row r="24" spans="1:38" s="177" customFormat="1" x14ac:dyDescent="0.25"/>
    <row r="25" spans="1:38" s="177" customFormat="1" x14ac:dyDescent="0.25"/>
    <row r="26" spans="1:38" s="177" customFormat="1" x14ac:dyDescent="0.25"/>
    <row r="27" spans="1:38" s="177" customFormat="1" x14ac:dyDescent="0.25"/>
    <row r="28" spans="1:38" s="177" customFormat="1" x14ac:dyDescent="0.25"/>
    <row r="29" spans="1:38" s="177" customFormat="1" x14ac:dyDescent="0.25"/>
    <row r="30" spans="1:38" s="177" customFormat="1" x14ac:dyDescent="0.25"/>
    <row r="31" spans="1:38" s="177" customFormat="1" x14ac:dyDescent="0.25"/>
    <row r="32" spans="1:38" s="177" customFormat="1" x14ac:dyDescent="0.25"/>
    <row r="33" s="177" customFormat="1" x14ac:dyDescent="0.25"/>
    <row r="34" s="177" customFormat="1" x14ac:dyDescent="0.25"/>
    <row r="35" s="177" customFormat="1" x14ac:dyDescent="0.25"/>
    <row r="36" s="177" customFormat="1" x14ac:dyDescent="0.25"/>
    <row r="37" s="177" customFormat="1" x14ac:dyDescent="0.25"/>
    <row r="38" s="177" customFormat="1" x14ac:dyDescent="0.25"/>
    <row r="39" s="177" customFormat="1" x14ac:dyDescent="0.25"/>
    <row r="40" s="177" customFormat="1" x14ac:dyDescent="0.25"/>
    <row r="41" s="177" customFormat="1" x14ac:dyDescent="0.25"/>
    <row r="42" s="177" customFormat="1" x14ac:dyDescent="0.25"/>
    <row r="43" s="177" customFormat="1" x14ac:dyDescent="0.25"/>
    <row r="44" s="177" customFormat="1" x14ac:dyDescent="0.25"/>
    <row r="45" s="177" customFormat="1" x14ac:dyDescent="0.25"/>
    <row r="46" s="177" customFormat="1" x14ac:dyDescent="0.25"/>
    <row r="47" s="177" customFormat="1" x14ac:dyDescent="0.25"/>
    <row r="48" s="177" customFormat="1" x14ac:dyDescent="0.25"/>
    <row r="49" s="177" customFormat="1" x14ac:dyDescent="0.25"/>
    <row r="50" s="177" customFormat="1" x14ac:dyDescent="0.25"/>
    <row r="51" s="177" customFormat="1" x14ac:dyDescent="0.25"/>
    <row r="52" s="177" customFormat="1" x14ac:dyDescent="0.25"/>
    <row r="53" s="177" customFormat="1" x14ac:dyDescent="0.25"/>
  </sheetData>
  <sheetProtection algorithmName="SHA-512" hashValue="S5MI6XrYOu3xX9AYzqKpRkeF0cC/Q651HOC76Rr1BOYE8FMiG6cmVPcIQwAk4KVbe/yE9KDMZlDd8VXRgsS4Qg==" saltValue="ntdmJw7wLVbXEzRW7MKSKA==" spinCount="100000" sheet="1" objects="1" scenarios="1" selectLockedCells="1"/>
  <mergeCells count="2">
    <mergeCell ref="A1:K5"/>
    <mergeCell ref="B6:K6"/>
  </mergeCells>
  <hyperlinks>
    <hyperlink ref="E9" r:id="rId1" xr:uid="{00000000-0004-0000-0A00-000000000000}"/>
  </hyperlinks>
  <pageMargins left="0.7" right="0.7" top="0.75" bottom="0.75" header="0.3" footer="0.3"/>
  <pageSetup scale="88"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pageSetUpPr fitToPage="1"/>
  </sheetPr>
  <dimension ref="A1:AL66"/>
  <sheetViews>
    <sheetView showRowColHeaders="0" workbookViewId="0">
      <selection activeCell="F7" sqref="F7"/>
    </sheetView>
  </sheetViews>
  <sheetFormatPr defaultRowHeight="15" x14ac:dyDescent="0.25"/>
  <cols>
    <col min="9" max="9" width="14.28515625" customWidth="1"/>
    <col min="10" max="10" width="16.5703125" customWidth="1"/>
    <col min="11" max="11" width="36" customWidth="1"/>
    <col min="12" max="38" width="9.140625" style="177"/>
  </cols>
  <sheetData>
    <row r="1" spans="1:38" x14ac:dyDescent="0.25">
      <c r="A1" s="382"/>
      <c r="B1" s="383"/>
      <c r="C1" s="383"/>
      <c r="D1" s="383"/>
      <c r="E1" s="383"/>
      <c r="F1" s="383"/>
      <c r="G1" s="383"/>
      <c r="H1" s="383"/>
      <c r="I1" s="383"/>
      <c r="J1" s="383"/>
      <c r="K1" s="384"/>
    </row>
    <row r="2" spans="1:38" x14ac:dyDescent="0.25">
      <c r="A2" s="385"/>
      <c r="B2" s="386"/>
      <c r="C2" s="386"/>
      <c r="D2" s="386"/>
      <c r="E2" s="386"/>
      <c r="F2" s="386"/>
      <c r="G2" s="386"/>
      <c r="H2" s="386"/>
      <c r="I2" s="386"/>
      <c r="J2" s="386"/>
      <c r="K2" s="387"/>
    </row>
    <row r="3" spans="1:38" x14ac:dyDescent="0.25">
      <c r="A3" s="385"/>
      <c r="B3" s="386"/>
      <c r="C3" s="386"/>
      <c r="D3" s="386"/>
      <c r="E3" s="386"/>
      <c r="F3" s="386"/>
      <c r="G3" s="386"/>
      <c r="H3" s="386"/>
      <c r="I3" s="386"/>
      <c r="J3" s="386"/>
      <c r="K3" s="387"/>
    </row>
    <row r="4" spans="1:38" x14ac:dyDescent="0.25">
      <c r="A4" s="385"/>
      <c r="B4" s="386"/>
      <c r="C4" s="386"/>
      <c r="D4" s="386"/>
      <c r="E4" s="386"/>
      <c r="F4" s="386"/>
      <c r="G4" s="386"/>
      <c r="H4" s="386"/>
      <c r="I4" s="386"/>
      <c r="J4" s="386"/>
      <c r="K4" s="387"/>
    </row>
    <row r="5" spans="1:38" x14ac:dyDescent="0.25">
      <c r="A5" s="385"/>
      <c r="B5" s="386"/>
      <c r="C5" s="386"/>
      <c r="D5" s="386"/>
      <c r="E5" s="386"/>
      <c r="F5" s="386"/>
      <c r="G5" s="386"/>
      <c r="H5" s="386"/>
      <c r="I5" s="386"/>
      <c r="J5" s="386"/>
      <c r="K5" s="387"/>
    </row>
    <row r="6" spans="1:38" x14ac:dyDescent="0.25">
      <c r="A6" s="94"/>
      <c r="B6" s="388"/>
      <c r="C6" s="388"/>
      <c r="D6" s="388"/>
      <c r="E6" s="388"/>
      <c r="F6" s="388"/>
      <c r="G6" s="388"/>
      <c r="H6" s="388"/>
      <c r="I6" s="388"/>
      <c r="J6" s="388"/>
      <c r="K6" s="389"/>
    </row>
    <row r="7" spans="1:38" s="167" customFormat="1" ht="12" x14ac:dyDescent="0.2">
      <c r="A7" s="164"/>
      <c r="B7" s="259" t="s">
        <v>221</v>
      </c>
      <c r="C7" s="260"/>
      <c r="D7" s="260"/>
      <c r="E7" s="260"/>
      <c r="F7" s="260"/>
      <c r="G7" s="260"/>
      <c r="H7" s="261"/>
      <c r="I7" s="262"/>
      <c r="J7" s="263"/>
      <c r="K7" s="264"/>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s="172" customFormat="1" ht="12" x14ac:dyDescent="0.2">
      <c r="A8" s="164"/>
      <c r="B8" s="265" t="s">
        <v>341</v>
      </c>
      <c r="C8" s="266"/>
      <c r="D8" s="266"/>
      <c r="E8" s="266"/>
      <c r="F8" s="266"/>
      <c r="G8" s="266"/>
      <c r="H8" s="267"/>
      <c r="I8" s="268"/>
      <c r="J8" s="266"/>
      <c r="K8" s="269"/>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s="175" customFormat="1" ht="12" x14ac:dyDescent="0.2">
      <c r="A9" s="173"/>
      <c r="B9" s="265" t="s">
        <v>314</v>
      </c>
      <c r="C9" s="265"/>
      <c r="D9" s="265"/>
      <c r="E9" s="265"/>
      <c r="F9" s="265"/>
      <c r="G9" s="265"/>
      <c r="H9" s="265"/>
      <c r="I9" s="265"/>
      <c r="J9" s="265"/>
      <c r="K9" s="270"/>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row>
    <row r="10" spans="1:38" s="2" customFormat="1" ht="6" customHeight="1" x14ac:dyDescent="0.25">
      <c r="A10" s="156"/>
      <c r="B10" s="3"/>
      <c r="C10" s="3"/>
      <c r="D10" s="3"/>
      <c r="E10" s="3"/>
      <c r="F10" s="3"/>
      <c r="G10" s="3"/>
      <c r="H10" s="3"/>
      <c r="I10" s="3"/>
      <c r="J10" s="3"/>
      <c r="K10" s="15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row>
    <row r="11" spans="1:38" s="2" customFormat="1" ht="27.75" customHeight="1" x14ac:dyDescent="0.25">
      <c r="A11" s="156"/>
      <c r="B11" s="3"/>
      <c r="C11" s="3"/>
      <c r="D11" s="3"/>
      <c r="E11" s="322" t="s">
        <v>240</v>
      </c>
      <c r="F11"/>
      <c r="G11"/>
      <c r="H11"/>
      <c r="I11" s="3"/>
      <c r="J11" s="3"/>
      <c r="K11" s="15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row>
    <row r="12" spans="1:38" s="2" customFormat="1" x14ac:dyDescent="0.25">
      <c r="A12" s="156"/>
      <c r="B12" s="3"/>
      <c r="C12" s="3"/>
      <c r="D12" s="3"/>
      <c r="F12" s="3"/>
      <c r="G12" s="3"/>
      <c r="H12" s="3"/>
      <c r="I12" s="3"/>
      <c r="J12" s="3"/>
      <c r="K12" s="15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row>
    <row r="13" spans="1:38" s="2" customFormat="1" x14ac:dyDescent="0.25">
      <c r="A13" s="156"/>
      <c r="B13" s="3"/>
      <c r="C13" s="3"/>
      <c r="D13" s="3"/>
      <c r="E13" s="3"/>
      <c r="F13" s="3"/>
      <c r="G13" s="3"/>
      <c r="H13" s="3"/>
      <c r="I13" s="3"/>
      <c r="J13" s="3"/>
      <c r="K13" s="15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row>
    <row r="14" spans="1:38" s="2" customFormat="1" x14ac:dyDescent="0.25">
      <c r="A14" s="156"/>
      <c r="B14" s="3"/>
      <c r="C14" s="3"/>
      <c r="D14" s="3"/>
      <c r="E14" s="3"/>
      <c r="F14" s="3"/>
      <c r="G14" s="3"/>
      <c r="H14" s="3"/>
      <c r="I14" s="3"/>
      <c r="J14" s="3"/>
      <c r="K14" s="15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row>
    <row r="15" spans="1:38" s="2" customFormat="1" x14ac:dyDescent="0.25">
      <c r="A15" s="156"/>
      <c r="B15" s="3"/>
      <c r="C15" s="3"/>
      <c r="D15" s="3"/>
      <c r="E15" s="3"/>
      <c r="F15" s="3"/>
      <c r="G15" s="3"/>
      <c r="H15" s="3"/>
      <c r="I15" s="3"/>
      <c r="J15" s="3"/>
      <c r="K15" s="15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row>
    <row r="16" spans="1:38" s="2" customFormat="1" x14ac:dyDescent="0.25">
      <c r="A16" s="156"/>
      <c r="B16" s="3"/>
      <c r="C16" s="3"/>
      <c r="D16" s="3"/>
      <c r="E16" s="3"/>
      <c r="F16" s="3"/>
      <c r="G16" s="3"/>
      <c r="H16" s="3"/>
      <c r="I16" s="3"/>
      <c r="J16" s="3"/>
      <c r="K16" s="15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row>
    <row r="17" spans="1:38" s="2" customFormat="1" x14ac:dyDescent="0.25">
      <c r="A17" s="156"/>
      <c r="B17" s="3"/>
      <c r="C17" s="3"/>
      <c r="D17" s="3"/>
      <c r="E17" s="3"/>
      <c r="F17" s="3"/>
      <c r="G17" s="3"/>
      <c r="H17" s="3"/>
      <c r="I17" s="3"/>
      <c r="J17" s="3"/>
      <c r="K17" s="15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row>
    <row r="18" spans="1:38" s="2" customFormat="1" x14ac:dyDescent="0.25">
      <c r="A18" s="156"/>
      <c r="B18" s="3"/>
      <c r="C18" s="3"/>
      <c r="D18" s="3"/>
      <c r="E18" s="3"/>
      <c r="F18" s="3"/>
      <c r="G18" s="3"/>
      <c r="H18" s="3"/>
      <c r="I18" s="3"/>
      <c r="J18" s="3"/>
      <c r="K18" s="15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row>
    <row r="19" spans="1:38" s="2" customFormat="1" x14ac:dyDescent="0.25">
      <c r="A19" s="156"/>
      <c r="B19" s="3"/>
      <c r="C19" s="3"/>
      <c r="D19" s="3"/>
      <c r="E19" s="3"/>
      <c r="F19" s="3"/>
      <c r="G19" s="3"/>
      <c r="H19" s="3"/>
      <c r="I19" s="3"/>
      <c r="J19" s="3"/>
      <c r="K19" s="15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row>
    <row r="20" spans="1:38" s="2" customFormat="1" x14ac:dyDescent="0.25">
      <c r="A20" s="156"/>
      <c r="B20" s="3"/>
      <c r="C20" s="3"/>
      <c r="D20" s="3"/>
      <c r="E20" s="3"/>
      <c r="F20" s="3"/>
      <c r="G20" s="3"/>
      <c r="H20" s="3"/>
      <c r="I20" s="3"/>
      <c r="J20" s="3"/>
      <c r="K20" s="15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row>
    <row r="21" spans="1:38" s="2" customFormat="1" x14ac:dyDescent="0.25">
      <c r="A21" s="156"/>
      <c r="B21" s="3"/>
      <c r="C21" s="3"/>
      <c r="D21" s="3"/>
      <c r="E21" s="3"/>
      <c r="F21" s="3"/>
      <c r="G21" s="3"/>
      <c r="H21" s="3"/>
      <c r="I21" s="3"/>
      <c r="J21" s="3"/>
      <c r="K21" s="15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row>
    <row r="22" spans="1:38" s="2" customFormat="1" x14ac:dyDescent="0.25">
      <c r="A22" s="156"/>
      <c r="B22" s="3"/>
      <c r="C22" s="3"/>
      <c r="D22" s="3"/>
      <c r="E22" s="3"/>
      <c r="F22" s="3"/>
      <c r="G22" s="3"/>
      <c r="H22" s="3"/>
      <c r="I22" s="3"/>
      <c r="J22" s="3"/>
      <c r="K22" s="15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row>
    <row r="23" spans="1:38" s="2" customFormat="1" x14ac:dyDescent="0.25">
      <c r="A23" s="156"/>
      <c r="B23" s="3"/>
      <c r="C23" s="3"/>
      <c r="D23" s="3"/>
      <c r="E23" s="3"/>
      <c r="F23" s="3"/>
      <c r="G23" s="3"/>
      <c r="H23" s="3"/>
      <c r="I23" s="3"/>
      <c r="J23" s="3"/>
      <c r="K23" s="15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row>
    <row r="24" spans="1:38" s="2" customFormat="1" x14ac:dyDescent="0.25">
      <c r="A24" s="156"/>
      <c r="B24" s="3"/>
      <c r="C24" s="3"/>
      <c r="D24" s="3"/>
      <c r="E24" s="3"/>
      <c r="F24" s="3"/>
      <c r="G24" s="3"/>
      <c r="H24" s="3"/>
      <c r="I24" s="3"/>
      <c r="J24" s="3"/>
      <c r="K24" s="15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row>
    <row r="25" spans="1:38" s="2" customFormat="1" x14ac:dyDescent="0.25">
      <c r="A25" s="156"/>
      <c r="B25" s="3"/>
      <c r="C25" s="3"/>
      <c r="D25" s="3"/>
      <c r="E25" s="3"/>
      <c r="F25" s="3"/>
      <c r="G25" s="3"/>
      <c r="H25" s="3"/>
      <c r="I25" s="3"/>
      <c r="J25" s="3"/>
      <c r="K25" s="15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row>
    <row r="26" spans="1:38" s="2" customFormat="1" x14ac:dyDescent="0.25">
      <c r="A26" s="156"/>
      <c r="B26" s="3"/>
      <c r="C26" s="3"/>
      <c r="D26" s="3"/>
      <c r="E26" s="3"/>
      <c r="F26" s="3"/>
      <c r="G26" s="3"/>
      <c r="H26" s="3"/>
      <c r="I26" s="3"/>
      <c r="J26" s="3"/>
      <c r="K26" s="15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row>
    <row r="27" spans="1:38" s="2" customFormat="1" x14ac:dyDescent="0.25">
      <c r="A27" s="156"/>
      <c r="B27" s="3"/>
      <c r="C27" s="3"/>
      <c r="D27" s="3"/>
      <c r="E27" s="3"/>
      <c r="F27" s="3"/>
      <c r="G27" s="3"/>
      <c r="H27" s="3"/>
      <c r="I27" s="3"/>
      <c r="J27" s="3"/>
      <c r="K27" s="15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row>
    <row r="28" spans="1:38" s="2" customFormat="1" x14ac:dyDescent="0.25">
      <c r="A28" s="156"/>
      <c r="B28" s="3"/>
      <c r="C28" s="3"/>
      <c r="D28" s="3"/>
      <c r="E28" s="3"/>
      <c r="F28" s="3"/>
      <c r="G28" s="3"/>
      <c r="H28" s="3"/>
      <c r="I28" s="3"/>
      <c r="J28" s="3"/>
      <c r="K28" s="15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row>
    <row r="29" spans="1:38" s="2" customFormat="1" x14ac:dyDescent="0.25">
      <c r="A29" s="156"/>
      <c r="B29" s="3"/>
      <c r="C29" s="3"/>
      <c r="D29" s="3"/>
      <c r="E29" s="3"/>
      <c r="F29" s="3"/>
      <c r="G29" s="3"/>
      <c r="H29" s="3"/>
      <c r="I29" s="3"/>
      <c r="J29" s="3"/>
      <c r="K29" s="15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row>
    <row r="30" spans="1:38" s="2" customFormat="1" x14ac:dyDescent="0.25">
      <c r="A30" s="156"/>
      <c r="B30" s="3"/>
      <c r="C30" s="3"/>
      <c r="D30" s="3"/>
      <c r="E30" s="3"/>
      <c r="F30" s="3"/>
      <c r="G30" s="3"/>
      <c r="H30" s="3"/>
      <c r="I30" s="3"/>
      <c r="J30" s="3"/>
      <c r="K30" s="15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row>
    <row r="31" spans="1:38" s="2" customFormat="1" x14ac:dyDescent="0.25">
      <c r="A31" s="156"/>
      <c r="B31" s="3"/>
      <c r="C31" s="3"/>
      <c r="D31" s="3"/>
      <c r="E31" s="3"/>
      <c r="F31" s="3"/>
      <c r="G31" s="3"/>
      <c r="H31" s="3"/>
      <c r="I31" s="3"/>
      <c r="J31" s="3"/>
      <c r="K31" s="15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row>
    <row r="32" spans="1:38" s="2" customFormat="1" x14ac:dyDescent="0.25">
      <c r="A32" s="156"/>
      <c r="B32" s="3"/>
      <c r="C32" s="3"/>
      <c r="D32" s="3"/>
      <c r="E32" s="3"/>
      <c r="F32" s="3"/>
      <c r="G32" s="3"/>
      <c r="H32" s="3"/>
      <c r="I32" s="3"/>
      <c r="J32" s="3"/>
      <c r="K32" s="15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row>
    <row r="33" spans="1:38" s="2" customFormat="1" x14ac:dyDescent="0.25">
      <c r="A33" s="156"/>
      <c r="B33" s="3"/>
      <c r="C33" s="3"/>
      <c r="D33" s="3"/>
      <c r="E33" s="3"/>
      <c r="F33" s="3"/>
      <c r="G33" s="3"/>
      <c r="H33" s="3"/>
      <c r="I33" s="3"/>
      <c r="J33" s="3"/>
      <c r="K33" s="15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row>
    <row r="34" spans="1:38" s="2" customFormat="1" x14ac:dyDescent="0.25">
      <c r="A34" s="156"/>
      <c r="B34" s="3"/>
      <c r="C34" s="3"/>
      <c r="D34" s="3"/>
      <c r="E34" s="3"/>
      <c r="F34" s="3"/>
      <c r="G34" s="3"/>
      <c r="H34" s="3"/>
      <c r="I34" s="3"/>
      <c r="J34" s="3"/>
      <c r="K34" s="15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row>
    <row r="35" spans="1:38" s="2" customFormat="1" x14ac:dyDescent="0.25">
      <c r="A35" s="156"/>
      <c r="B35" s="3"/>
      <c r="C35" s="3"/>
      <c r="D35" s="3"/>
      <c r="E35" s="3"/>
      <c r="F35" s="3"/>
      <c r="G35" s="3"/>
      <c r="H35" s="3"/>
      <c r="I35" s="3"/>
      <c r="J35" s="3"/>
      <c r="K35" s="15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row>
    <row r="36" spans="1:38" s="2" customFormat="1" ht="15.75" thickBot="1" x14ac:dyDescent="0.3">
      <c r="A36" s="158"/>
      <c r="B36" s="159"/>
      <c r="C36" s="159"/>
      <c r="D36" s="159"/>
      <c r="E36" s="159"/>
      <c r="F36" s="159"/>
      <c r="G36" s="159"/>
      <c r="H36" s="159"/>
      <c r="I36" s="159"/>
      <c r="J36" s="159"/>
      <c r="K36" s="160"/>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row>
    <row r="37" spans="1:38" s="177" customFormat="1" x14ac:dyDescent="0.25"/>
    <row r="38" spans="1:38" s="177" customFormat="1" x14ac:dyDescent="0.25"/>
    <row r="39" spans="1:38" s="177" customFormat="1" x14ac:dyDescent="0.25"/>
    <row r="40" spans="1:38" s="177" customFormat="1" x14ac:dyDescent="0.25"/>
    <row r="41" spans="1:38" s="177" customFormat="1" x14ac:dyDescent="0.25"/>
    <row r="42" spans="1:38" s="177" customFormat="1" x14ac:dyDescent="0.25"/>
    <row r="43" spans="1:38" s="177" customFormat="1" x14ac:dyDescent="0.25"/>
    <row r="44" spans="1:38" s="177" customFormat="1" x14ac:dyDescent="0.25"/>
    <row r="45" spans="1:38" s="177" customFormat="1" x14ac:dyDescent="0.25"/>
    <row r="46" spans="1:38" s="177" customFormat="1" x14ac:dyDescent="0.25"/>
    <row r="47" spans="1:38" s="177" customFormat="1" x14ac:dyDescent="0.25"/>
    <row r="48" spans="1:38" s="177" customFormat="1" x14ac:dyDescent="0.25"/>
    <row r="49" s="177" customFormat="1" x14ac:dyDescent="0.25"/>
    <row r="50" s="177" customFormat="1" x14ac:dyDescent="0.25"/>
    <row r="51" s="177" customFormat="1" x14ac:dyDescent="0.25"/>
    <row r="52" s="177" customFormat="1" x14ac:dyDescent="0.25"/>
    <row r="53" s="177" customFormat="1" x14ac:dyDescent="0.25"/>
    <row r="54" s="177" customFormat="1" x14ac:dyDescent="0.25"/>
    <row r="55" s="177" customFormat="1" x14ac:dyDescent="0.25"/>
    <row r="56" s="177" customFormat="1" x14ac:dyDescent="0.25"/>
    <row r="57" s="177" customFormat="1" x14ac:dyDescent="0.25"/>
    <row r="58" s="177" customFormat="1" x14ac:dyDescent="0.25"/>
    <row r="59" s="177" customFormat="1" x14ac:dyDescent="0.25"/>
    <row r="60" s="177" customFormat="1" x14ac:dyDescent="0.25"/>
    <row r="61" s="177" customFormat="1" x14ac:dyDescent="0.25"/>
    <row r="62" s="177" customFormat="1" x14ac:dyDescent="0.25"/>
    <row r="63" s="177" customFormat="1" x14ac:dyDescent="0.25"/>
    <row r="64" s="177" customFormat="1" x14ac:dyDescent="0.25"/>
    <row r="65" s="177" customFormat="1" x14ac:dyDescent="0.25"/>
    <row r="66" s="177" customFormat="1" x14ac:dyDescent="0.25"/>
  </sheetData>
  <sheetProtection algorithmName="SHA-512" hashValue="hOc42ywXrUuQGeWoflLmT2WSh3m70yTvlf9qMep1+paEXb1BvBra7SO84VINES5qCe8oZi8jtYJyjJUFm6NN+A==" saltValue="WbPp6gZ5xR6FnIscY4Nlgw==" spinCount="100000" sheet="1" objects="1" scenarios="1" selectLockedCells="1"/>
  <mergeCells count="2">
    <mergeCell ref="A1:K5"/>
    <mergeCell ref="B6:K6"/>
  </mergeCells>
  <hyperlinks>
    <hyperlink ref="E11" r:id="rId1" xr:uid="{00000000-0004-0000-0B00-000000000000}"/>
  </hyperlinks>
  <pageMargins left="0.7" right="0.7" top="0.75" bottom="0.75" header="0.3" footer="0.3"/>
  <pageSetup scale="87" orientation="landscape" horizontalDpi="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AL48"/>
  <sheetViews>
    <sheetView showRowColHeaders="0" workbookViewId="0">
      <selection activeCell="B8" sqref="B8"/>
    </sheetView>
  </sheetViews>
  <sheetFormatPr defaultRowHeight="15" x14ac:dyDescent="0.25"/>
  <cols>
    <col min="1" max="1" width="6.5703125" customWidth="1"/>
    <col min="9" max="9" width="14.28515625" customWidth="1"/>
    <col min="10" max="10" width="16.5703125" customWidth="1"/>
    <col min="11" max="11" width="16.85546875" customWidth="1"/>
    <col min="12" max="38" width="9.140625" style="177"/>
  </cols>
  <sheetData>
    <row r="1" spans="1:38" x14ac:dyDescent="0.25">
      <c r="A1" s="382"/>
      <c r="B1" s="383"/>
      <c r="C1" s="383"/>
      <c r="D1" s="383"/>
      <c r="E1" s="383"/>
      <c r="F1" s="383"/>
      <c r="G1" s="383"/>
      <c r="H1" s="383"/>
      <c r="I1" s="383"/>
      <c r="J1" s="383"/>
      <c r="K1" s="384"/>
    </row>
    <row r="2" spans="1:38" x14ac:dyDescent="0.25">
      <c r="A2" s="385"/>
      <c r="B2" s="386"/>
      <c r="C2" s="386"/>
      <c r="D2" s="386"/>
      <c r="E2" s="386"/>
      <c r="F2" s="386"/>
      <c r="G2" s="386"/>
      <c r="H2" s="386"/>
      <c r="I2" s="386"/>
      <c r="J2" s="386"/>
      <c r="K2" s="387"/>
    </row>
    <row r="3" spans="1:38" x14ac:dyDescent="0.25">
      <c r="A3" s="385"/>
      <c r="B3" s="386"/>
      <c r="C3" s="386"/>
      <c r="D3" s="386"/>
      <c r="E3" s="386"/>
      <c r="F3" s="386"/>
      <c r="G3" s="386"/>
      <c r="H3" s="386"/>
      <c r="I3" s="386"/>
      <c r="J3" s="386"/>
      <c r="K3" s="387"/>
    </row>
    <row r="4" spans="1:38" x14ac:dyDescent="0.25">
      <c r="A4" s="385"/>
      <c r="B4" s="386"/>
      <c r="C4" s="386"/>
      <c r="D4" s="386"/>
      <c r="E4" s="386"/>
      <c r="F4" s="386"/>
      <c r="G4" s="386"/>
      <c r="H4" s="386"/>
      <c r="I4" s="386"/>
      <c r="J4" s="386"/>
      <c r="K4" s="387"/>
    </row>
    <row r="5" spans="1:38" x14ac:dyDescent="0.25">
      <c r="A5" s="385"/>
      <c r="B5" s="386"/>
      <c r="C5" s="386"/>
      <c r="D5" s="386"/>
      <c r="E5" s="386"/>
      <c r="F5" s="386"/>
      <c r="G5" s="386"/>
      <c r="H5" s="386"/>
      <c r="I5" s="386"/>
      <c r="J5" s="386"/>
      <c r="K5" s="387"/>
    </row>
    <row r="6" spans="1:38" x14ac:dyDescent="0.25">
      <c r="A6" s="94"/>
      <c r="B6" s="467" t="s">
        <v>222</v>
      </c>
      <c r="C6" s="468"/>
      <c r="D6" s="468"/>
      <c r="E6" s="468"/>
      <c r="F6" s="468"/>
      <c r="G6" s="468"/>
      <c r="H6" s="468"/>
      <c r="I6" s="468"/>
      <c r="J6" s="468"/>
      <c r="K6" s="469"/>
    </row>
    <row r="7" spans="1:38" s="167" customFormat="1" ht="24.75" customHeight="1" x14ac:dyDescent="0.2">
      <c r="A7" s="164"/>
      <c r="B7" s="163"/>
      <c r="C7" s="161"/>
      <c r="D7" s="161"/>
      <c r="E7" s="161"/>
      <c r="F7" s="161"/>
      <c r="G7" s="161"/>
      <c r="H7" s="95"/>
      <c r="I7" s="170"/>
      <c r="J7" s="165"/>
      <c r="K7" s="166"/>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s="167" customFormat="1" ht="12" customHeight="1" x14ac:dyDescent="0.2">
      <c r="A8" s="164"/>
      <c r="B8" s="266" t="s">
        <v>375</v>
      </c>
      <c r="C8" s="161"/>
      <c r="D8" s="161"/>
      <c r="E8" s="161"/>
      <c r="F8" s="161"/>
      <c r="G8" s="161"/>
      <c r="H8" s="95"/>
      <c r="I8" s="170"/>
      <c r="J8" s="165"/>
      <c r="K8" s="166"/>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s="167" customFormat="1" ht="13.5" customHeight="1" x14ac:dyDescent="0.2">
      <c r="A9" s="164"/>
      <c r="B9" s="266" t="s">
        <v>238</v>
      </c>
      <c r="C9" s="161"/>
      <c r="D9" s="161"/>
      <c r="E9" s="161"/>
      <c r="F9" s="161"/>
      <c r="G9" s="161"/>
      <c r="H9" s="95"/>
      <c r="I9" s="170"/>
      <c r="J9" s="165"/>
      <c r="K9" s="166"/>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s="172" customFormat="1" ht="23.25" customHeight="1" x14ac:dyDescent="0.2">
      <c r="A10" s="164"/>
      <c r="B10" s="279"/>
      <c r="C10" s="163"/>
      <c r="D10" s="163"/>
      <c r="E10" s="163"/>
      <c r="F10" s="163"/>
      <c r="G10" s="163"/>
      <c r="H10" s="169"/>
      <c r="I10" s="170"/>
      <c r="J10" s="163"/>
      <c r="K10" s="171"/>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s="175" customFormat="1" ht="12" x14ac:dyDescent="0.2">
      <c r="A11" s="173"/>
      <c r="B11" s="265" t="s">
        <v>237</v>
      </c>
      <c r="C11" s="168"/>
      <c r="D11" s="168"/>
      <c r="E11" s="168"/>
      <c r="F11" s="168"/>
      <c r="G11" s="168"/>
      <c r="H11" s="168"/>
      <c r="I11" s="168"/>
      <c r="J11" s="168"/>
      <c r="K11" s="174"/>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row>
    <row r="12" spans="1:38" s="2" customFormat="1" ht="12.75" customHeight="1" x14ac:dyDescent="0.25">
      <c r="A12" s="156"/>
      <c r="B12" s="3"/>
      <c r="C12" s="3"/>
      <c r="D12" s="3"/>
      <c r="E12" s="3"/>
      <c r="F12" s="3"/>
      <c r="G12" s="3"/>
      <c r="H12" s="3"/>
      <c r="I12" s="3"/>
      <c r="J12" s="3"/>
      <c r="K12" s="15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row>
    <row r="13" spans="1:38" s="175" customFormat="1" ht="12" x14ac:dyDescent="0.2">
      <c r="A13" s="173"/>
      <c r="B13" s="176"/>
      <c r="C13" s="168"/>
      <c r="D13" s="168"/>
      <c r="E13" s="168"/>
      <c r="F13" s="168"/>
      <c r="G13" s="168"/>
      <c r="H13" s="168"/>
      <c r="I13" s="168"/>
      <c r="J13" s="168"/>
      <c r="K13" s="174"/>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row>
    <row r="14" spans="1:38" s="175" customFormat="1" ht="12" x14ac:dyDescent="0.2">
      <c r="A14" s="173"/>
      <c r="B14" s="168"/>
      <c r="C14" s="168"/>
      <c r="D14" s="168"/>
      <c r="F14" s="168"/>
      <c r="G14" s="168"/>
      <c r="H14" s="168"/>
      <c r="I14" s="168"/>
      <c r="J14" s="168"/>
      <c r="K14" s="174"/>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row>
    <row r="15" spans="1:38" s="175" customFormat="1" ht="12" x14ac:dyDescent="0.2">
      <c r="A15" s="173"/>
      <c r="B15" s="168"/>
      <c r="C15" s="168"/>
      <c r="D15" s="168"/>
      <c r="F15" s="168"/>
      <c r="G15" s="168"/>
      <c r="H15" s="168"/>
      <c r="I15" s="168"/>
      <c r="J15" s="168"/>
      <c r="K15" s="174"/>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row>
    <row r="16" spans="1:38" s="2" customFormat="1" ht="27.75" customHeight="1" x14ac:dyDescent="0.25">
      <c r="A16" s="156"/>
      <c r="B16" s="3"/>
      <c r="C16" s="3"/>
      <c r="D16" s="3"/>
      <c r="E16" s="180"/>
      <c r="F16" s="3"/>
      <c r="G16" s="3"/>
      <c r="H16" s="3"/>
      <c r="I16" s="3"/>
      <c r="J16" s="3"/>
      <c r="K16" s="15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row>
    <row r="17" spans="1:38" s="2" customFormat="1" x14ac:dyDescent="0.25">
      <c r="A17" s="156"/>
      <c r="B17" s="3"/>
      <c r="C17" s="3"/>
      <c r="D17" s="3"/>
      <c r="F17" s="470" t="s">
        <v>223</v>
      </c>
      <c r="G17" s="471"/>
      <c r="H17" s="3"/>
      <c r="I17" s="3"/>
      <c r="J17" s="3"/>
      <c r="K17" s="15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row>
    <row r="18" spans="1:38" s="2" customFormat="1" ht="15.75" thickBot="1" x14ac:dyDescent="0.3">
      <c r="A18" s="158"/>
      <c r="B18" s="159"/>
      <c r="C18" s="159"/>
      <c r="D18" s="159"/>
      <c r="E18" s="159"/>
      <c r="F18" s="159"/>
      <c r="G18" s="159"/>
      <c r="H18" s="159"/>
      <c r="I18" s="159"/>
      <c r="J18" s="159"/>
      <c r="K18" s="160"/>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row>
    <row r="19" spans="1:38" s="177" customFormat="1" x14ac:dyDescent="0.25"/>
    <row r="20" spans="1:38" s="177" customFormat="1" x14ac:dyDescent="0.25"/>
    <row r="21" spans="1:38" s="177" customFormat="1" x14ac:dyDescent="0.25"/>
    <row r="22" spans="1:38" s="177" customFormat="1" x14ac:dyDescent="0.25"/>
    <row r="23" spans="1:38" s="177" customFormat="1" x14ac:dyDescent="0.25"/>
    <row r="24" spans="1:38" s="177" customFormat="1" x14ac:dyDescent="0.25"/>
    <row r="25" spans="1:38" s="177" customFormat="1" x14ac:dyDescent="0.25"/>
    <row r="26" spans="1:38" s="177" customFormat="1" x14ac:dyDescent="0.25"/>
    <row r="27" spans="1:38" s="177" customFormat="1" x14ac:dyDescent="0.25"/>
    <row r="28" spans="1:38" s="177" customFormat="1" x14ac:dyDescent="0.25"/>
    <row r="29" spans="1:38" s="177" customFormat="1" x14ac:dyDescent="0.25"/>
    <row r="30" spans="1:38" s="177" customFormat="1" x14ac:dyDescent="0.25"/>
    <row r="31" spans="1:38" s="177" customFormat="1" x14ac:dyDescent="0.25"/>
    <row r="32" spans="1:38" s="177" customFormat="1" x14ac:dyDescent="0.25"/>
    <row r="33" s="177" customFormat="1" x14ac:dyDescent="0.25"/>
    <row r="34" s="177" customFormat="1" x14ac:dyDescent="0.25"/>
    <row r="35" s="177" customFormat="1" x14ac:dyDescent="0.25"/>
    <row r="36" s="177" customFormat="1" x14ac:dyDescent="0.25"/>
    <row r="37" s="177" customFormat="1" x14ac:dyDescent="0.25"/>
    <row r="38" s="177" customFormat="1" x14ac:dyDescent="0.25"/>
    <row r="39" s="177" customFormat="1" x14ac:dyDescent="0.25"/>
    <row r="40" s="177" customFormat="1" x14ac:dyDescent="0.25"/>
    <row r="41" s="177" customFormat="1" x14ac:dyDescent="0.25"/>
    <row r="42" s="177" customFormat="1" x14ac:dyDescent="0.25"/>
    <row r="43" s="177" customFormat="1" x14ac:dyDescent="0.25"/>
    <row r="44" s="177" customFormat="1" x14ac:dyDescent="0.25"/>
    <row r="45" s="177" customFormat="1" x14ac:dyDescent="0.25"/>
    <row r="46" s="177" customFormat="1" x14ac:dyDescent="0.25"/>
    <row r="47" s="177" customFormat="1" x14ac:dyDescent="0.25"/>
    <row r="48" s="177" customFormat="1" x14ac:dyDescent="0.25"/>
  </sheetData>
  <mergeCells count="3">
    <mergeCell ref="A1:K5"/>
    <mergeCell ref="B6:K6"/>
    <mergeCell ref="F17:G17"/>
  </mergeCells>
  <pageMargins left="0.7" right="0.7" top="0.75" bottom="0.75" header="0.3" footer="0.3"/>
  <pageSetup orientation="landscape" horizont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F98"/>
  <sheetViews>
    <sheetView tabSelected="1" topLeftCell="B1" zoomScale="82" zoomScaleNormal="82" workbookViewId="0">
      <selection activeCell="D11" sqref="D11:E11"/>
    </sheetView>
  </sheetViews>
  <sheetFormatPr defaultRowHeight="15" x14ac:dyDescent="0.25"/>
  <cols>
    <col min="1" max="1" width="7" style="93" hidden="1" customWidth="1"/>
    <col min="2" max="2" width="3.7109375" style="93" customWidth="1"/>
    <col min="3" max="3" width="21" style="93" customWidth="1"/>
    <col min="4" max="4" width="29.28515625" style="93" customWidth="1"/>
    <col min="5" max="5" width="6.5703125" style="93" customWidth="1"/>
    <col min="6" max="6" width="26.140625" style="93" customWidth="1"/>
    <col min="7" max="7" width="14" style="93" customWidth="1"/>
    <col min="8" max="8" width="13.140625" style="93" customWidth="1"/>
    <col min="9" max="9" width="13.7109375" style="93" customWidth="1"/>
    <col min="10" max="10" width="16" style="93" customWidth="1"/>
    <col min="11" max="11" width="11.85546875" style="93" customWidth="1"/>
    <col min="12" max="12" width="12.42578125" style="93" customWidth="1"/>
    <col min="13" max="15" width="9.140625" style="118" customWidth="1"/>
    <col min="16" max="16" width="23.28515625" style="118" hidden="1" customWidth="1"/>
    <col min="17" max="17" width="48.42578125" style="118" hidden="1" customWidth="1"/>
    <col min="18" max="18" width="15.85546875" style="118" hidden="1" customWidth="1"/>
    <col min="19" max="19" width="10.7109375" style="118" hidden="1" customWidth="1"/>
    <col min="20" max="20" width="13.85546875" style="118" hidden="1" customWidth="1"/>
    <col min="21" max="22" width="9.140625" style="118" hidden="1" customWidth="1"/>
    <col min="23" max="23" width="20.42578125" style="118" hidden="1" customWidth="1"/>
    <col min="24" max="29" width="9.140625" style="118" hidden="1" customWidth="1"/>
    <col min="30" max="33" width="9.140625" style="118" customWidth="1"/>
    <col min="34" max="110" width="9.140625" style="91" customWidth="1"/>
    <col min="111" max="16384" width="9.140625" style="92"/>
  </cols>
  <sheetData>
    <row r="1" spans="1:26" x14ac:dyDescent="0.25">
      <c r="A1" s="90"/>
      <c r="B1" s="382"/>
      <c r="C1" s="383"/>
      <c r="D1" s="383"/>
      <c r="E1" s="383"/>
      <c r="F1" s="383"/>
      <c r="G1" s="383"/>
      <c r="H1" s="383"/>
      <c r="I1" s="383"/>
      <c r="J1" s="383"/>
      <c r="K1" s="383"/>
      <c r="L1" s="384"/>
      <c r="P1" s="246" t="s">
        <v>101</v>
      </c>
      <c r="Q1" s="239" t="s">
        <v>102</v>
      </c>
    </row>
    <row r="2" spans="1:26" x14ac:dyDescent="0.25">
      <c r="A2" s="90"/>
      <c r="B2" s="385"/>
      <c r="C2" s="386"/>
      <c r="D2" s="386"/>
      <c r="E2" s="386"/>
      <c r="F2" s="386"/>
      <c r="G2" s="386"/>
      <c r="H2" s="386"/>
      <c r="I2" s="386"/>
      <c r="J2" s="386"/>
      <c r="K2" s="386"/>
      <c r="L2" s="387"/>
    </row>
    <row r="3" spans="1:26" x14ac:dyDescent="0.25">
      <c r="A3" s="90"/>
      <c r="B3" s="385"/>
      <c r="C3" s="386"/>
      <c r="D3" s="386"/>
      <c r="E3" s="386"/>
      <c r="F3" s="386"/>
      <c r="G3" s="386"/>
      <c r="H3" s="386"/>
      <c r="I3" s="386"/>
      <c r="J3" s="386"/>
      <c r="K3" s="386"/>
      <c r="L3" s="387"/>
    </row>
    <row r="4" spans="1:26" x14ac:dyDescent="0.25">
      <c r="A4" s="90"/>
      <c r="B4" s="385"/>
      <c r="C4" s="386"/>
      <c r="D4" s="386"/>
      <c r="E4" s="386"/>
      <c r="F4" s="386"/>
      <c r="G4" s="386"/>
      <c r="H4" s="386"/>
      <c r="I4" s="386"/>
      <c r="J4" s="386"/>
      <c r="K4" s="386"/>
      <c r="L4" s="387"/>
    </row>
    <row r="5" spans="1:26" ht="12.75" customHeight="1" x14ac:dyDescent="0.25">
      <c r="A5" s="90"/>
      <c r="B5" s="385"/>
      <c r="C5" s="386"/>
      <c r="D5" s="386"/>
      <c r="E5" s="386"/>
      <c r="F5" s="386"/>
      <c r="G5" s="386"/>
      <c r="H5" s="386"/>
      <c r="I5" s="386"/>
      <c r="J5" s="386"/>
      <c r="K5" s="386"/>
      <c r="L5" s="387"/>
      <c r="P5" s="119">
        <v>41275</v>
      </c>
      <c r="Q5" s="131">
        <f>P5</f>
        <v>41275</v>
      </c>
      <c r="R5" s="120"/>
    </row>
    <row r="6" spans="1:26" ht="3" customHeight="1" x14ac:dyDescent="0.25">
      <c r="B6" s="94"/>
      <c r="C6" s="388"/>
      <c r="D6" s="388"/>
      <c r="E6" s="388"/>
      <c r="F6" s="388"/>
      <c r="G6" s="388"/>
      <c r="H6" s="388"/>
      <c r="I6" s="388"/>
      <c r="J6" s="388"/>
      <c r="K6" s="388"/>
      <c r="L6" s="389"/>
    </row>
    <row r="7" spans="1:26" ht="15" customHeight="1" x14ac:dyDescent="0.25">
      <c r="B7" s="94"/>
      <c r="C7" s="392"/>
      <c r="D7" s="393"/>
      <c r="E7" s="393"/>
      <c r="F7" s="393"/>
      <c r="G7" s="393"/>
      <c r="H7" s="393"/>
      <c r="I7" s="95"/>
      <c r="J7" s="282"/>
      <c r="K7" s="282" t="s">
        <v>17</v>
      </c>
      <c r="L7" s="291">
        <f ca="1">TODAY()</f>
        <v>43726</v>
      </c>
      <c r="P7" s="121" t="s">
        <v>18</v>
      </c>
      <c r="Q7" s="122">
        <f>K9</f>
        <v>0</v>
      </c>
      <c r="R7" s="121">
        <v>2</v>
      </c>
      <c r="S7" s="121"/>
      <c r="T7" s="121"/>
      <c r="U7" s="121"/>
      <c r="V7" s="121"/>
      <c r="W7" s="121"/>
      <c r="X7" s="121"/>
      <c r="Y7" s="121"/>
      <c r="Z7" s="121"/>
    </row>
    <row r="8" spans="1:26" ht="24" customHeight="1" x14ac:dyDescent="0.25">
      <c r="B8" s="94"/>
      <c r="C8" s="393"/>
      <c r="D8" s="393"/>
      <c r="E8" s="393"/>
      <c r="F8" s="393"/>
      <c r="G8" s="393"/>
      <c r="H8" s="393"/>
      <c r="I8" s="96"/>
      <c r="J8" s="283"/>
      <c r="K8" s="283"/>
      <c r="L8" s="97"/>
      <c r="P8" s="121" t="s">
        <v>302</v>
      </c>
      <c r="Q8" s="122">
        <f>IF(H20="cfs", 1, 2)</f>
        <v>1</v>
      </c>
      <c r="R8" s="121" t="s">
        <v>304</v>
      </c>
      <c r="S8" s="121">
        <f>IF(Q8=2,G20,IF(Q8=1,G20/0.00222800926,0))</f>
        <v>0</v>
      </c>
      <c r="T8" s="121"/>
      <c r="U8" s="121"/>
      <c r="V8" s="121"/>
      <c r="W8" s="121"/>
      <c r="X8" s="121"/>
      <c r="Y8" s="121"/>
      <c r="Z8" s="121"/>
    </row>
    <row r="9" spans="1:26" ht="18" customHeight="1" x14ac:dyDescent="0.25">
      <c r="B9" s="94"/>
      <c r="C9" s="394" t="s">
        <v>131</v>
      </c>
      <c r="D9" s="395"/>
      <c r="E9" s="395"/>
      <c r="F9" s="395"/>
      <c r="G9" s="395"/>
      <c r="H9" s="395"/>
      <c r="I9" s="395"/>
      <c r="J9" s="289"/>
      <c r="K9" s="290"/>
      <c r="L9" s="99"/>
      <c r="P9" s="121" t="s">
        <v>99</v>
      </c>
      <c r="Q9" s="121">
        <f>IF(H18="gpm", 1, 2)</f>
        <v>2</v>
      </c>
      <c r="R9" s="121" t="s">
        <v>349</v>
      </c>
      <c r="S9" s="121">
        <f>IF(Q9=2,G18,(G18*0.002228009))</f>
        <v>0</v>
      </c>
      <c r="T9" s="121"/>
      <c r="U9" s="121"/>
      <c r="V9" s="121"/>
      <c r="W9" s="121"/>
      <c r="X9" s="121"/>
      <c r="Y9" s="121"/>
      <c r="Z9" s="121"/>
    </row>
    <row r="10" spans="1:26" ht="16.5" customHeight="1" thickBot="1" x14ac:dyDescent="0.3">
      <c r="B10" s="94"/>
      <c r="C10" s="98"/>
      <c r="D10" s="100"/>
      <c r="E10" s="100"/>
      <c r="F10" s="98"/>
      <c r="G10" s="98"/>
      <c r="H10" s="98"/>
      <c r="I10" s="386"/>
      <c r="J10" s="386"/>
      <c r="K10" s="284"/>
      <c r="L10" s="97"/>
      <c r="P10" s="121" t="s">
        <v>303</v>
      </c>
      <c r="Q10" s="123">
        <f>IF(Q9=1,G18,IF(Q9=2,ROUND(G18*448.8312,0),0))</f>
        <v>0</v>
      </c>
      <c r="R10" s="123">
        <f>ROUNDUP($Q$10,0)</f>
        <v>0</v>
      </c>
      <c r="S10" s="121"/>
      <c r="T10" s="121"/>
      <c r="U10" s="121"/>
      <c r="V10" s="121"/>
      <c r="W10" s="121"/>
      <c r="X10" s="121"/>
      <c r="Y10" s="121"/>
      <c r="Z10" s="121"/>
    </row>
    <row r="11" spans="1:26" ht="15.95" customHeight="1" x14ac:dyDescent="0.25">
      <c r="B11" s="94"/>
      <c r="C11" s="245" t="s">
        <v>10</v>
      </c>
      <c r="D11" s="390"/>
      <c r="E11" s="391"/>
      <c r="F11" s="98"/>
      <c r="G11" s="244" t="s">
        <v>132</v>
      </c>
      <c r="H11" s="390"/>
      <c r="I11" s="391"/>
      <c r="J11" s="396"/>
      <c r="K11" s="101"/>
      <c r="L11" s="102"/>
      <c r="P11" s="121" t="s">
        <v>12</v>
      </c>
      <c r="Q11" s="121">
        <f>VLOOKUP(C19,Q30:R39,2,0)</f>
        <v>7</v>
      </c>
      <c r="R11" s="121">
        <f>Q22</f>
        <v>1</v>
      </c>
      <c r="S11" s="121"/>
      <c r="T11" s="121"/>
      <c r="U11" s="121"/>
      <c r="V11" s="121"/>
      <c r="W11" s="121"/>
      <c r="X11" s="121"/>
      <c r="Y11" s="121"/>
      <c r="Z11" s="121"/>
    </row>
    <row r="12" spans="1:26" ht="15.95" customHeight="1" x14ac:dyDescent="0.25">
      <c r="B12" s="94"/>
      <c r="C12" s="245" t="s">
        <v>11</v>
      </c>
      <c r="D12" s="416"/>
      <c r="E12" s="417"/>
      <c r="F12" s="98"/>
      <c r="G12" s="244" t="s">
        <v>122</v>
      </c>
      <c r="H12" s="416"/>
      <c r="I12" s="417"/>
      <c r="J12" s="420"/>
      <c r="K12" s="101"/>
      <c r="L12" s="97"/>
      <c r="P12" s="121"/>
      <c r="Q12" s="121"/>
      <c r="R12" s="121"/>
      <c r="S12" s="121"/>
      <c r="T12" s="121"/>
      <c r="U12" s="121"/>
      <c r="V12" s="121"/>
      <c r="W12" s="121"/>
      <c r="X12" s="121"/>
      <c r="Y12" s="121"/>
      <c r="Z12" s="121"/>
    </row>
    <row r="13" spans="1:26" ht="15.95" customHeight="1" x14ac:dyDescent="0.25">
      <c r="B13" s="94"/>
      <c r="C13" s="245" t="s">
        <v>135</v>
      </c>
      <c r="D13" s="416"/>
      <c r="E13" s="417"/>
      <c r="F13" s="98"/>
      <c r="G13" s="244" t="s">
        <v>133</v>
      </c>
      <c r="H13" s="421"/>
      <c r="I13" s="422"/>
      <c r="J13" s="423"/>
      <c r="K13" s="101"/>
      <c r="L13" s="99"/>
      <c r="P13" s="121"/>
      <c r="Q13" s="121" t="s">
        <v>100</v>
      </c>
      <c r="R13" s="121" t="str">
        <f>IF(R10=0," ",'Flow Rate Charts'!M26)</f>
        <v xml:space="preserve"> </v>
      </c>
      <c r="S13" s="121"/>
      <c r="T13" s="121"/>
      <c r="U13" s="121"/>
      <c r="V13" s="121"/>
      <c r="W13" s="121"/>
      <c r="X13" s="121"/>
      <c r="Y13" s="121"/>
      <c r="Z13" s="121"/>
    </row>
    <row r="14" spans="1:26" ht="15.95" customHeight="1" x14ac:dyDescent="0.25">
      <c r="B14" s="94"/>
      <c r="C14" s="98"/>
      <c r="D14" s="98"/>
      <c r="E14" s="98"/>
      <c r="F14" s="98"/>
      <c r="G14" s="244" t="s">
        <v>134</v>
      </c>
      <c r="H14" s="416"/>
      <c r="I14" s="417"/>
      <c r="J14" s="420"/>
      <c r="K14" s="101"/>
      <c r="L14" s="99"/>
      <c r="P14" s="124" t="str">
        <f>CONCATENATE("Max. WQF = ",R14, H18)</f>
        <v>Max. WQF = 3.193cfs</v>
      </c>
      <c r="Q14" s="121">
        <v>0</v>
      </c>
      <c r="R14" s="326">
        <f>ROUND(IF(Q9=1,'Flow Rate Charts'!M34, IF(Q9=2,('Flow Rate Charts'!M34*0.002228009))),3)</f>
        <v>3.1930000000000001</v>
      </c>
      <c r="S14" s="123"/>
      <c r="T14" s="121"/>
      <c r="U14" s="121"/>
      <c r="V14" s="121"/>
      <c r="W14" s="121"/>
      <c r="X14" s="121"/>
      <c r="Y14" s="121"/>
      <c r="Z14" s="121"/>
    </row>
    <row r="15" spans="1:26" ht="16.5" customHeight="1" x14ac:dyDescent="0.25">
      <c r="B15" s="94"/>
      <c r="C15" s="98"/>
      <c r="D15" s="98"/>
      <c r="E15" s="98"/>
      <c r="F15" s="98"/>
      <c r="G15" s="98"/>
      <c r="H15" s="98"/>
      <c r="I15" s="117"/>
      <c r="J15" s="117"/>
      <c r="K15" s="117"/>
      <c r="L15" s="99"/>
      <c r="P15" s="124"/>
      <c r="Q15" s="330">
        <f>IF(Q9=1,IF(Q11=3,'Flow Rate Charts'!J35,IF(Q11=4,'Flow Rate Charts'!J35,IF(Q11=6,'Flow Rate Charts'!J33,'Flow Rate Charts'!J37))),IF(Q11=3,'Flow Rate Charts'!J34,IF(Q11=4,'Flow Rate Charts'!J34,IF(Q11=6,'Flow Rate Charts'!J32,'Flow Rate Charts'!J36))))</f>
        <v>1</v>
      </c>
      <c r="R15" s="121"/>
      <c r="S15" s="121"/>
      <c r="T15" s="121"/>
      <c r="U15" s="121"/>
      <c r="V15" s="121"/>
      <c r="W15" s="121"/>
      <c r="X15" s="121"/>
      <c r="Y15" s="121"/>
      <c r="Z15" s="121"/>
    </row>
    <row r="16" spans="1:26" ht="15.75" customHeight="1" x14ac:dyDescent="0.25">
      <c r="B16" s="94"/>
      <c r="C16" s="243" t="s">
        <v>252</v>
      </c>
      <c r="D16" s="103"/>
      <c r="E16" s="98"/>
      <c r="F16" s="243" t="s">
        <v>260</v>
      </c>
      <c r="G16" s="103"/>
      <c r="H16" s="113"/>
      <c r="I16" s="113"/>
      <c r="J16" s="285" t="s">
        <v>278</v>
      </c>
      <c r="K16" s="281"/>
      <c r="L16" s="104"/>
      <c r="P16" s="121"/>
      <c r="Q16" s="121"/>
      <c r="R16" s="121"/>
      <c r="S16" s="121"/>
      <c r="T16" s="121"/>
      <c r="U16" s="121"/>
      <c r="V16" s="121"/>
      <c r="W16" s="121"/>
      <c r="X16" s="121"/>
      <c r="Y16" s="121"/>
      <c r="Z16" s="121"/>
    </row>
    <row r="17" spans="2:26" ht="18" customHeight="1" thickBot="1" x14ac:dyDescent="0.3">
      <c r="B17" s="94"/>
      <c r="C17" s="98"/>
      <c r="D17" s="98"/>
      <c r="E17" s="98"/>
      <c r="F17" s="98"/>
      <c r="G17" s="101"/>
      <c r="H17" s="105"/>
      <c r="I17" s="106"/>
      <c r="J17" s="419" t="s">
        <v>125</v>
      </c>
      <c r="K17" s="101"/>
      <c r="L17" s="107"/>
      <c r="P17" s="121" t="s">
        <v>264</v>
      </c>
      <c r="Q17" s="121">
        <f>Q15</f>
        <v>1</v>
      </c>
      <c r="R17" s="121">
        <f>ROUNDUP($Q$17,0)</f>
        <v>1</v>
      </c>
      <c r="S17" s="125" t="s">
        <v>1</v>
      </c>
      <c r="T17" s="125" t="s">
        <v>8</v>
      </c>
      <c r="U17" s="125" t="s">
        <v>2</v>
      </c>
      <c r="V17" s="125" t="s">
        <v>3</v>
      </c>
      <c r="W17" s="125" t="s">
        <v>4</v>
      </c>
      <c r="X17" s="125" t="s">
        <v>5</v>
      </c>
      <c r="Y17" s="125" t="s">
        <v>6</v>
      </c>
      <c r="Z17" s="125" t="s">
        <v>7</v>
      </c>
    </row>
    <row r="18" spans="2:26" ht="21" customHeight="1" thickBot="1" x14ac:dyDescent="0.3">
      <c r="B18" s="94"/>
      <c r="C18" s="247" t="s">
        <v>253</v>
      </c>
      <c r="D18" s="247"/>
      <c r="E18" s="96"/>
      <c r="F18" s="247" t="s">
        <v>24</v>
      </c>
      <c r="G18" s="325"/>
      <c r="H18" s="324" t="s">
        <v>0</v>
      </c>
      <c r="I18" s="106"/>
      <c r="J18" s="411"/>
      <c r="K18" s="241"/>
      <c r="L18" s="134" t="s">
        <v>50</v>
      </c>
      <c r="P18" s="121" t="s">
        <v>9</v>
      </c>
      <c r="Q18" s="121" t="str">
        <f>$R$13</f>
        <v xml:space="preserve"> </v>
      </c>
      <c r="R18" s="121"/>
      <c r="S18" s="133" t="str">
        <f>IF(G18=0, " --- ", IF($Q$18=1," -- ", IF($Q$18="7 ft x 8 ft", ("7 ft x 8 ft"),IF($Q$18="78 in x 126 in",("78 in x 126 in"),IF($Q$18="132 in x 156 in",("132 in x 156 in"),IF($Q$18="180 in x 156 in",("180 in x 156 in"),IF($Q$18="4-ft round",("4-ft round"),(" --- "))))))))</f>
        <v xml:space="preserve"> --- </v>
      </c>
      <c r="T18" s="133">
        <v>0</v>
      </c>
      <c r="U18" s="133" t="str">
        <f>IF($Q$18=1," -- ", IF($Q$18=7, (36),IF($Q$18=10.5,(36),IF($Q$18=11,(36),IF($Q$18=13,(36),IF($Q$18=4,(15),(" --- ")))))))</f>
        <v xml:space="preserve"> --- </v>
      </c>
      <c r="V18" s="133" t="b">
        <f>IF($Q$18=1," -- ", IF($Q$18=4,Performance!Q13))</f>
        <v>0</v>
      </c>
      <c r="W18" s="133" t="str">
        <f>IF($Q$18=1," -- ", IF($Q$18=4, (70),IF($Q$18=6,(216),IF($Q$18=8,(540),IF($Q$18=10,(1050),IF($Q$18=12,(1170),(" --- ")))))))</f>
        <v xml:space="preserve"> --- </v>
      </c>
      <c r="X18" s="133" t="str">
        <f>IF($Q$18=1," -- ", IF($Q$18=4, (0.7),IF($Q$18=6,(2.1),IF($Q$18=8,(4.65),IF($Q$18=10,(8.7),IF($Q$18=12,(14.7),(" --- ")))))))</f>
        <v xml:space="preserve"> --- </v>
      </c>
      <c r="Y18" s="133">
        <f>IF($Q$18=1," -- ", 5)</f>
        <v>5</v>
      </c>
      <c r="Z18" s="133">
        <f>IF($Q$18=1," -- ", 3)</f>
        <v>3</v>
      </c>
    </row>
    <row r="19" spans="2:26" ht="24.75" customHeight="1" thickBot="1" x14ac:dyDescent="0.3">
      <c r="B19" s="94"/>
      <c r="C19" s="412" t="s">
        <v>372</v>
      </c>
      <c r="D19" s="413"/>
      <c r="E19" s="96"/>
      <c r="F19" s="310"/>
      <c r="G19" s="143"/>
      <c r="H19" s="110"/>
      <c r="I19" s="106"/>
      <c r="J19" s="411" t="s">
        <v>130</v>
      </c>
      <c r="K19" s="96"/>
      <c r="L19" s="99"/>
      <c r="P19" s="400" t="s">
        <v>104</v>
      </c>
      <c r="Q19" s="400"/>
    </row>
    <row r="20" spans="2:26" ht="15.95" customHeight="1" x14ac:dyDescent="0.25">
      <c r="B20" s="94"/>
      <c r="C20" s="96"/>
      <c r="D20" s="96"/>
      <c r="E20" s="96"/>
      <c r="F20" s="247" t="s">
        <v>26</v>
      </c>
      <c r="G20" s="240"/>
      <c r="H20" s="324" t="s">
        <v>0</v>
      </c>
      <c r="I20" s="106"/>
      <c r="J20" s="411"/>
      <c r="K20" s="241">
        <v>15</v>
      </c>
      <c r="L20" s="134" t="s">
        <v>51</v>
      </c>
      <c r="P20" s="118" t="s">
        <v>102</v>
      </c>
      <c r="Q20" s="118">
        <v>1</v>
      </c>
    </row>
    <row r="21" spans="2:26" ht="15.95" customHeight="1" thickBot="1" x14ac:dyDescent="0.3">
      <c r="B21" s="94"/>
      <c r="C21" s="247" t="s">
        <v>305</v>
      </c>
      <c r="D21" s="96"/>
      <c r="E21" s="96"/>
      <c r="F21" s="108"/>
      <c r="G21" s="226"/>
      <c r="H21" s="96"/>
      <c r="I21" s="111"/>
      <c r="J21" s="249"/>
      <c r="K21" s="112"/>
      <c r="L21" s="99"/>
      <c r="O21" s="121"/>
      <c r="P21" s="121" t="s">
        <v>40</v>
      </c>
      <c r="Q21" s="121">
        <v>2</v>
      </c>
      <c r="T21" s="118" t="s">
        <v>114</v>
      </c>
      <c r="W21" s="118" t="s">
        <v>136</v>
      </c>
    </row>
    <row r="22" spans="2:26" ht="15.95" customHeight="1" x14ac:dyDescent="0.25">
      <c r="B22" s="94"/>
      <c r="C22" s="240" t="s">
        <v>310</v>
      </c>
      <c r="D22" s="96"/>
      <c r="E22" s="98"/>
      <c r="F22" s="98"/>
      <c r="G22" s="98"/>
      <c r="H22" s="98"/>
      <c r="I22" s="109"/>
      <c r="J22" s="248" t="s">
        <v>115</v>
      </c>
      <c r="K22" s="241"/>
      <c r="L22" s="135" t="s">
        <v>50</v>
      </c>
      <c r="O22" s="121"/>
      <c r="P22" s="121" t="s">
        <v>103</v>
      </c>
      <c r="Q22" s="121">
        <f>VLOOKUP(Q1,P20:Q21,2)</f>
        <v>1</v>
      </c>
      <c r="R22" s="126"/>
      <c r="T22" s="118" t="s">
        <v>138</v>
      </c>
      <c r="W22" s="118" t="s">
        <v>139</v>
      </c>
    </row>
    <row r="23" spans="2:26" ht="13.5" customHeight="1" x14ac:dyDescent="0.25">
      <c r="B23" s="94"/>
      <c r="C23" s="96"/>
      <c r="D23" s="96"/>
      <c r="E23" s="96"/>
      <c r="F23" s="96"/>
      <c r="G23" s="226"/>
      <c r="H23" s="96"/>
      <c r="I23" s="111"/>
      <c r="J23" s="98"/>
      <c r="K23" s="98"/>
      <c r="L23" s="99"/>
      <c r="O23" s="127"/>
      <c r="P23" s="121" t="s">
        <v>110</v>
      </c>
      <c r="Q23" s="121">
        <v>1</v>
      </c>
      <c r="T23" s="118" t="s">
        <v>137</v>
      </c>
      <c r="W23" s="118" t="s">
        <v>140</v>
      </c>
    </row>
    <row r="24" spans="2:26" ht="24" customHeight="1" x14ac:dyDescent="0.25">
      <c r="B24" s="94"/>
      <c r="C24" s="242" t="s">
        <v>279</v>
      </c>
      <c r="D24" s="113"/>
      <c r="E24" s="142"/>
      <c r="F24" s="228"/>
      <c r="G24" s="142"/>
      <c r="H24" s="142"/>
      <c r="I24" s="113"/>
      <c r="J24" s="113"/>
      <c r="K24" s="113"/>
      <c r="L24" s="99"/>
      <c r="O24" s="121"/>
      <c r="P24" s="121"/>
      <c r="Q24" s="121"/>
    </row>
    <row r="25" spans="2:26" ht="12" customHeight="1" x14ac:dyDescent="0.25">
      <c r="B25" s="94"/>
      <c r="C25" s="114"/>
      <c r="D25" s="114"/>
      <c r="E25" s="114"/>
      <c r="F25" s="114"/>
      <c r="G25" s="114"/>
      <c r="H25" s="114"/>
      <c r="I25" s="114"/>
      <c r="J25" s="114"/>
      <c r="K25" s="114"/>
      <c r="L25" s="99"/>
      <c r="P25" s="286" t="s">
        <v>261</v>
      </c>
      <c r="R25" s="286" t="s">
        <v>262</v>
      </c>
    </row>
    <row r="26" spans="2:26" ht="24" customHeight="1" x14ac:dyDescent="0.25">
      <c r="B26" s="94"/>
      <c r="C26" s="403" t="str">
        <f>IF(C22="Yes ",Q51, IF(C19="New Jersey DEP Certified Sizing (0.056 cfs/Module)",R47,IF(Z48="offline",Q47, IF(Z49="offline",Q43,R43))))</f>
        <v>***Peak Flow Note***
Offline System Recommended                                                                                                          Use "DWG 1-7 Modules (Offline)" on Worksheet 3b.</v>
      </c>
      <c r="D26" s="404"/>
      <c r="E26" s="404"/>
      <c r="F26" s="404"/>
      <c r="G26" s="115"/>
      <c r="H26" s="98"/>
      <c r="I26" s="98"/>
      <c r="J26" s="98"/>
      <c r="K26" s="98"/>
      <c r="L26" s="99"/>
      <c r="P26" s="118" t="s">
        <v>0</v>
      </c>
      <c r="R26" s="118" t="s">
        <v>310</v>
      </c>
    </row>
    <row r="27" spans="2:26" ht="37.5" customHeight="1" thickBot="1" x14ac:dyDescent="0.3">
      <c r="B27" s="94"/>
      <c r="C27" s="405"/>
      <c r="D27" s="405"/>
      <c r="E27" s="405"/>
      <c r="F27" s="405"/>
      <c r="G27" s="98"/>
      <c r="H27" s="98"/>
      <c r="I27" s="98"/>
      <c r="J27" s="98"/>
      <c r="K27" s="98"/>
      <c r="L27" s="99"/>
      <c r="P27" s="118" t="s">
        <v>259</v>
      </c>
      <c r="R27" s="118" t="s">
        <v>263</v>
      </c>
    </row>
    <row r="28" spans="2:26" ht="27.95" customHeight="1" x14ac:dyDescent="0.25">
      <c r="B28" s="94"/>
      <c r="C28" s="250">
        <v>1</v>
      </c>
      <c r="D28" s="409" t="s">
        <v>251</v>
      </c>
      <c r="E28" s="410"/>
      <c r="F28" s="251"/>
      <c r="G28" s="98"/>
      <c r="H28" s="98"/>
      <c r="I28" s="98"/>
      <c r="J28" s="98"/>
      <c r="K28" s="98"/>
      <c r="L28" s="99"/>
    </row>
    <row r="29" spans="2:26" ht="27.95" customHeight="1" x14ac:dyDescent="0.25">
      <c r="B29" s="94"/>
      <c r="C29" s="252">
        <v>2</v>
      </c>
      <c r="D29" s="401" t="s">
        <v>269</v>
      </c>
      <c r="E29" s="402"/>
      <c r="F29" s="253"/>
      <c r="G29" s="98"/>
      <c r="H29" s="98"/>
      <c r="I29" s="98"/>
      <c r="J29" s="98"/>
      <c r="K29" s="98"/>
      <c r="L29" s="99"/>
      <c r="P29" s="418" t="s">
        <v>57</v>
      </c>
      <c r="Q29" s="418"/>
      <c r="R29" s="418"/>
      <c r="S29" s="399" t="s">
        <v>96</v>
      </c>
      <c r="T29" s="399"/>
      <c r="U29" s="399"/>
      <c r="W29" s="118" t="s">
        <v>116</v>
      </c>
    </row>
    <row r="30" spans="2:26" ht="27.95" customHeight="1" x14ac:dyDescent="0.25">
      <c r="B30" s="94"/>
      <c r="C30" s="252">
        <v>3</v>
      </c>
      <c r="D30" s="401" t="s">
        <v>16</v>
      </c>
      <c r="E30" s="402"/>
      <c r="F30" s="253"/>
      <c r="G30" s="98"/>
      <c r="H30" s="98"/>
      <c r="I30" s="98"/>
      <c r="J30" s="98"/>
      <c r="K30" s="98"/>
      <c r="L30" s="99"/>
      <c r="Q30" s="118" t="s">
        <v>97</v>
      </c>
      <c r="R30" s="118">
        <v>1</v>
      </c>
      <c r="T30" s="332" t="s">
        <v>141</v>
      </c>
      <c r="U30" s="332">
        <v>1</v>
      </c>
      <c r="W30" s="118">
        <f>K18+Y18</f>
        <v>5</v>
      </c>
      <c r="X30" s="118" t="str">
        <f>IF(K18=0," ",CONCATENATE("Min. Rim EL.= ",W30,"-ft."))</f>
        <v xml:space="preserve"> </v>
      </c>
    </row>
    <row r="31" spans="2:26" ht="27.95" customHeight="1" x14ac:dyDescent="0.25">
      <c r="B31" s="94"/>
      <c r="C31" s="252">
        <v>4</v>
      </c>
      <c r="D31" s="401" t="s">
        <v>14</v>
      </c>
      <c r="E31" s="402"/>
      <c r="F31" s="253"/>
      <c r="G31" s="98"/>
      <c r="H31" s="98"/>
      <c r="I31" s="98"/>
      <c r="J31" s="98"/>
      <c r="K31" s="98"/>
      <c r="L31" s="99"/>
      <c r="Q31" s="118" t="s">
        <v>370</v>
      </c>
      <c r="R31" s="118">
        <v>2</v>
      </c>
      <c r="T31" s="332" t="s">
        <v>90</v>
      </c>
      <c r="U31" s="332">
        <v>2</v>
      </c>
      <c r="W31" s="128" t="s">
        <v>121</v>
      </c>
    </row>
    <row r="32" spans="2:26" ht="27.95" customHeight="1" x14ac:dyDescent="0.25">
      <c r="B32" s="94"/>
      <c r="C32" s="252">
        <v>5</v>
      </c>
      <c r="D32" s="401" t="s">
        <v>15</v>
      </c>
      <c r="E32" s="402"/>
      <c r="F32" s="253"/>
      <c r="G32" s="98"/>
      <c r="H32" s="98"/>
      <c r="I32" s="98"/>
      <c r="J32" s="98"/>
      <c r="K32" s="98"/>
      <c r="L32" s="99"/>
      <c r="Q32" s="118" t="s">
        <v>351</v>
      </c>
      <c r="R32" s="118">
        <v>3</v>
      </c>
      <c r="W32" s="118" t="s">
        <v>277</v>
      </c>
    </row>
    <row r="33" spans="2:110" ht="27.95" customHeight="1" x14ac:dyDescent="0.25">
      <c r="B33" s="94"/>
      <c r="C33" s="252">
        <v>6</v>
      </c>
      <c r="D33" s="401" t="s">
        <v>282</v>
      </c>
      <c r="E33" s="402"/>
      <c r="F33" s="253"/>
      <c r="G33" s="98"/>
      <c r="H33" s="98"/>
      <c r="I33" s="98"/>
      <c r="J33" s="98"/>
      <c r="K33" s="98"/>
      <c r="L33" s="99"/>
      <c r="Q33" s="118" t="s">
        <v>350</v>
      </c>
      <c r="R33" s="118">
        <v>4</v>
      </c>
      <c r="T33" s="286" t="s">
        <v>266</v>
      </c>
      <c r="V33" s="286" t="s">
        <v>267</v>
      </c>
    </row>
    <row r="34" spans="2:110" ht="27.95" customHeight="1" x14ac:dyDescent="0.25">
      <c r="B34" s="94"/>
      <c r="C34" s="252">
        <v>7</v>
      </c>
      <c r="D34" s="401" t="s">
        <v>280</v>
      </c>
      <c r="E34" s="402"/>
      <c r="F34" s="253"/>
      <c r="G34" s="98"/>
      <c r="H34" s="98"/>
      <c r="I34" s="98"/>
      <c r="J34" s="98"/>
      <c r="K34" s="98"/>
      <c r="L34" s="99"/>
      <c r="Q34" s="118" t="s">
        <v>371</v>
      </c>
      <c r="R34" s="118">
        <v>5</v>
      </c>
      <c r="V34" s="118">
        <v>8</v>
      </c>
    </row>
    <row r="35" spans="2:110" ht="27.75" customHeight="1" x14ac:dyDescent="0.25">
      <c r="B35" s="94"/>
      <c r="C35" s="252">
        <v>8</v>
      </c>
      <c r="D35" s="401" t="s">
        <v>25</v>
      </c>
      <c r="E35" s="402"/>
      <c r="F35" s="253"/>
      <c r="G35" s="98"/>
      <c r="H35" s="98"/>
      <c r="I35" s="98"/>
      <c r="J35" s="98"/>
      <c r="K35" s="98"/>
      <c r="L35" s="99"/>
      <c r="Q35" s="118" t="s">
        <v>352</v>
      </c>
      <c r="R35" s="118">
        <v>6</v>
      </c>
      <c r="V35" s="118">
        <v>12</v>
      </c>
    </row>
    <row r="36" spans="2:110" ht="24" customHeight="1" thickBot="1" x14ac:dyDescent="0.3">
      <c r="B36" s="94"/>
      <c r="C36" s="254">
        <v>9</v>
      </c>
      <c r="D36" s="414" t="s">
        <v>124</v>
      </c>
      <c r="E36" s="415"/>
      <c r="F36" s="255"/>
      <c r="G36" s="98"/>
      <c r="H36" s="98"/>
      <c r="I36" s="98"/>
      <c r="J36" s="98"/>
      <c r="K36" s="98"/>
      <c r="L36" s="99"/>
      <c r="Q36" s="118" t="s">
        <v>372</v>
      </c>
      <c r="R36" s="118">
        <v>7</v>
      </c>
      <c r="V36" s="118">
        <v>15</v>
      </c>
    </row>
    <row r="37" spans="2:110" ht="24" customHeight="1" x14ac:dyDescent="0.25">
      <c r="B37" s="312"/>
      <c r="C37" s="96"/>
      <c r="D37" s="96"/>
      <c r="E37" s="96"/>
      <c r="F37" s="96"/>
      <c r="G37" s="96"/>
      <c r="H37" s="96"/>
      <c r="I37" s="96"/>
      <c r="J37" s="96"/>
      <c r="K37" s="96"/>
      <c r="L37" s="99"/>
      <c r="R37" s="118">
        <v>8</v>
      </c>
      <c r="V37" s="118">
        <v>18</v>
      </c>
    </row>
    <row r="38" spans="2:110" s="93" customFormat="1" ht="23.25" customHeight="1" x14ac:dyDescent="0.25">
      <c r="B38" s="312"/>
      <c r="C38" s="96"/>
      <c r="D38" s="96"/>
      <c r="E38" s="96"/>
      <c r="F38" s="96"/>
      <c r="G38" s="96"/>
      <c r="H38" s="96"/>
      <c r="I38" s="96"/>
      <c r="J38" s="96"/>
      <c r="K38" s="96"/>
      <c r="L38" s="99"/>
      <c r="M38" s="118"/>
      <c r="N38" s="118"/>
      <c r="O38" s="118"/>
      <c r="P38" s="118"/>
      <c r="Q38" s="118"/>
      <c r="R38" s="118">
        <v>9</v>
      </c>
      <c r="S38" s="118"/>
      <c r="T38" s="118"/>
      <c r="U38" s="118"/>
      <c r="V38" s="118">
        <v>24</v>
      </c>
      <c r="W38" s="118"/>
      <c r="X38" s="118"/>
      <c r="Y38" s="118"/>
      <c r="Z38" s="118"/>
      <c r="AA38" s="118"/>
      <c r="AB38" s="118"/>
      <c r="AC38" s="118"/>
      <c r="AD38" s="118"/>
      <c r="AE38" s="118"/>
      <c r="AF38" s="118"/>
      <c r="AG38" s="118"/>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row>
    <row r="39" spans="2:110" s="93" customFormat="1" ht="24.75" customHeight="1" thickBot="1" x14ac:dyDescent="0.3">
      <c r="B39" s="406" t="s">
        <v>27</v>
      </c>
      <c r="C39" s="407"/>
      <c r="D39" s="407"/>
      <c r="E39" s="407"/>
      <c r="F39" s="407"/>
      <c r="G39" s="407"/>
      <c r="H39" s="407"/>
      <c r="I39" s="407"/>
      <c r="J39" s="407"/>
      <c r="K39" s="407"/>
      <c r="L39" s="408"/>
      <c r="M39" s="118"/>
      <c r="N39" s="118"/>
      <c r="O39" s="118"/>
      <c r="P39" s="129"/>
      <c r="Q39" s="130"/>
      <c r="R39" s="130"/>
      <c r="S39" s="130"/>
      <c r="T39" s="131"/>
      <c r="U39" s="118"/>
      <c r="V39" s="118">
        <v>27</v>
      </c>
      <c r="W39" s="118"/>
      <c r="X39" s="118"/>
      <c r="Y39" s="118"/>
      <c r="Z39" s="118"/>
      <c r="AA39" s="118"/>
      <c r="AB39" s="118"/>
      <c r="AC39" s="118"/>
      <c r="AD39" s="118"/>
      <c r="AE39" s="118"/>
      <c r="AF39" s="118"/>
      <c r="AG39" s="11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row>
    <row r="40" spans="2:110" s="93" customFormat="1" x14ac:dyDescent="0.25">
      <c r="M40" s="118"/>
      <c r="N40" s="118"/>
      <c r="O40" s="118"/>
      <c r="P40" s="129"/>
      <c r="Q40" s="130"/>
      <c r="R40" s="130"/>
      <c r="S40" s="130"/>
      <c r="T40" s="118"/>
      <c r="U40" s="118"/>
      <c r="V40" s="131">
        <v>30</v>
      </c>
      <c r="W40" s="118"/>
      <c r="X40" s="118"/>
      <c r="Y40" s="118"/>
      <c r="Z40" s="118"/>
      <c r="AA40" s="118"/>
      <c r="AB40" s="118"/>
      <c r="AC40" s="118"/>
      <c r="AD40" s="118"/>
      <c r="AE40" s="118"/>
      <c r="AF40" s="118"/>
      <c r="AG40" s="11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row>
    <row r="41" spans="2:110" s="93" customFormat="1" x14ac:dyDescent="0.25">
      <c r="M41" s="118"/>
      <c r="N41" s="118"/>
      <c r="O41" s="118"/>
      <c r="P41" s="129"/>
      <c r="Q41" s="130" t="s">
        <v>98</v>
      </c>
      <c r="R41" s="130"/>
      <c r="S41" s="331" t="str">
        <f>IF(G20&gt;U42,"Offline","Online")</f>
        <v>Online</v>
      </c>
      <c r="T41" s="332"/>
      <c r="U41" s="118"/>
      <c r="V41" s="118">
        <v>36</v>
      </c>
      <c r="W41" s="118"/>
      <c r="X41" s="118"/>
      <c r="Y41" s="118"/>
      <c r="Z41" s="118"/>
      <c r="AA41" s="118"/>
      <c r="AB41" s="118"/>
      <c r="AC41" s="118"/>
      <c r="AD41" s="118"/>
      <c r="AE41" s="118"/>
      <c r="AF41" s="118"/>
      <c r="AG41" s="11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row>
    <row r="42" spans="2:110" s="93" customFormat="1" x14ac:dyDescent="0.25">
      <c r="M42" s="118"/>
      <c r="N42" s="118"/>
      <c r="O42" s="118"/>
      <c r="P42" s="129"/>
      <c r="Q42" s="130" t="s">
        <v>105</v>
      </c>
      <c r="R42" s="130"/>
      <c r="S42" s="331">
        <v>0.1</v>
      </c>
      <c r="T42" s="331">
        <f>1+S42</f>
        <v>1.1000000000000001</v>
      </c>
      <c r="U42" s="332">
        <f>T42*T18</f>
        <v>0</v>
      </c>
      <c r="V42" s="118"/>
      <c r="W42" s="333" t="s">
        <v>46</v>
      </c>
      <c r="X42" s="334">
        <v>4</v>
      </c>
      <c r="Y42" s="334">
        <v>6</v>
      </c>
      <c r="Z42" s="334">
        <v>8</v>
      </c>
      <c r="AA42" s="334">
        <v>10</v>
      </c>
      <c r="AB42" s="334">
        <v>12</v>
      </c>
      <c r="AC42" s="118"/>
      <c r="AD42" s="118"/>
      <c r="AE42" s="118"/>
      <c r="AF42" s="118"/>
      <c r="AG42" s="11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row>
    <row r="43" spans="2:110" s="93" customFormat="1" ht="225" x14ac:dyDescent="0.25">
      <c r="M43" s="118"/>
      <c r="N43" s="118"/>
      <c r="O43" s="118"/>
      <c r="P43" s="129"/>
      <c r="Q43" s="132" t="str">
        <f>CONCATENATE("***Peak Flow Note***
Offline System Recommended","                                                                                                          ",Q59)</f>
        <v>***Peak Flow Note***
Offline System Recommended                                                                                                          Use "DWG 1-7 Modules (Offline)" on Worksheet 3b.</v>
      </c>
      <c r="R43" s="132" t="s">
        <v>325</v>
      </c>
      <c r="S43" s="132" t="s">
        <v>148</v>
      </c>
      <c r="T43" s="132"/>
      <c r="U43" s="118"/>
      <c r="V43" s="332" t="s">
        <v>144</v>
      </c>
      <c r="W43" s="334" t="s">
        <v>48</v>
      </c>
      <c r="X43" s="334">
        <f>Performance!F5</f>
        <v>3</v>
      </c>
      <c r="Y43" s="334">
        <f>Performance!G5</f>
        <v>8</v>
      </c>
      <c r="Z43" s="334">
        <f>Performance!H5</f>
        <v>15</v>
      </c>
      <c r="AA43" s="334">
        <f>Performance!I5</f>
        <v>25</v>
      </c>
      <c r="AB43" s="334">
        <f>Performance!J5</f>
        <v>38</v>
      </c>
      <c r="AC43" s="332" t="s">
        <v>149</v>
      </c>
      <c r="AD43" s="118"/>
      <c r="AE43" s="118"/>
      <c r="AF43" s="118"/>
      <c r="AG43" s="11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row>
    <row r="44" spans="2:110" s="93" customFormat="1" x14ac:dyDescent="0.25">
      <c r="M44" s="118"/>
      <c r="N44" s="118"/>
      <c r="O44" s="118"/>
      <c r="P44" s="118"/>
      <c r="Q44" s="132"/>
      <c r="R44" s="118"/>
      <c r="S44" s="118"/>
      <c r="T44" s="118"/>
      <c r="U44" s="118"/>
      <c r="V44" s="332" t="s">
        <v>145</v>
      </c>
      <c r="W44" s="333" t="s">
        <v>142</v>
      </c>
      <c r="X44" s="334">
        <f>X43+0.5</f>
        <v>3.5</v>
      </c>
      <c r="Y44" s="334">
        <f>Y43+0.5</f>
        <v>8.5</v>
      </c>
      <c r="Z44" s="334">
        <f>Z43+0.5</f>
        <v>15.5</v>
      </c>
      <c r="AA44" s="334">
        <f>AA43+0.5</f>
        <v>25.5</v>
      </c>
      <c r="AB44" s="334">
        <f>AB43+0.5</f>
        <v>38.5</v>
      </c>
      <c r="AC44" s="332">
        <v>3</v>
      </c>
      <c r="AD44" s="118"/>
      <c r="AE44" s="118"/>
      <c r="AF44" s="118"/>
      <c r="AG44" s="11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row>
    <row r="45" spans="2:110" s="93" customFormat="1" x14ac:dyDescent="0.25">
      <c r="J45" s="116"/>
      <c r="K45" s="116"/>
      <c r="L45" s="116"/>
      <c r="M45" s="118"/>
      <c r="N45" s="118"/>
      <c r="O45" s="118"/>
      <c r="P45" s="118"/>
      <c r="Q45" s="132"/>
      <c r="R45" s="118"/>
      <c r="S45" s="118"/>
      <c r="T45" s="118"/>
      <c r="U45" s="118"/>
      <c r="V45" s="332" t="s">
        <v>146</v>
      </c>
      <c r="W45" s="334" t="s">
        <v>143</v>
      </c>
      <c r="X45" s="334">
        <f>ROUNDUP($T$42*X43,0)</f>
        <v>4</v>
      </c>
      <c r="Y45" s="334">
        <f>ROUNDUP($T$42*Y43,0)</f>
        <v>9</v>
      </c>
      <c r="Z45" s="334">
        <f>ROUNDUP($T$42*Z43,0)</f>
        <v>17</v>
      </c>
      <c r="AA45" s="334">
        <f>ROUNDUP($T$42*AA43,0)</f>
        <v>28</v>
      </c>
      <c r="AB45" s="334">
        <f>ROUNDUP($T$42*AB43,0)</f>
        <v>42</v>
      </c>
      <c r="AC45" s="332">
        <v>3</v>
      </c>
      <c r="AD45" s="118"/>
      <c r="AE45" s="118"/>
      <c r="AF45" s="118"/>
      <c r="AG45" s="11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row>
    <row r="46" spans="2:110" s="93" customFormat="1" x14ac:dyDescent="0.25">
      <c r="J46" s="116"/>
      <c r="K46" s="116"/>
      <c r="L46" s="116"/>
      <c r="M46" s="118"/>
      <c r="N46" s="118"/>
      <c r="O46" s="118"/>
      <c r="P46" s="118"/>
      <c r="Q46" s="118"/>
      <c r="R46" s="118"/>
      <c r="S46" s="118"/>
      <c r="T46" s="118"/>
      <c r="U46" s="118"/>
      <c r="V46" s="118"/>
      <c r="W46" s="118"/>
      <c r="X46" s="118"/>
      <c r="Y46" s="118"/>
      <c r="Z46" s="118"/>
      <c r="AA46" s="118"/>
      <c r="AB46" s="118"/>
      <c r="AC46" s="118"/>
      <c r="AD46" s="118"/>
      <c r="AE46" s="118"/>
      <c r="AF46" s="118"/>
      <c r="AG46" s="118"/>
      <c r="AH46" s="91"/>
      <c r="AI46" s="91"/>
      <c r="AJ46" s="141"/>
      <c r="AK46" s="141"/>
      <c r="AL46" s="141"/>
      <c r="AM46" s="141"/>
      <c r="AN46" s="141"/>
      <c r="AO46" s="14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row>
    <row r="47" spans="2:110" s="93" customFormat="1" ht="195" x14ac:dyDescent="0.25">
      <c r="M47" s="118"/>
      <c r="N47" s="118"/>
      <c r="O47" s="118"/>
      <c r="P47" s="118"/>
      <c r="Q47" s="132" t="str">
        <f>CONCATENATE("***Offline System Recommended***
The Stormdrain Pipe dia.  &gt; Model's Max. Inlet Pipe dia.","                                                                                      ",Q59)</f>
        <v>***Offline System Recommended***
The Stormdrain Pipe dia.  &gt; Model's Max. Inlet Pipe dia.                                                                                      Use "DWG 1-7 Modules (Offline)" on Worksheet 3b.</v>
      </c>
      <c r="R47" s="128" t="str">
        <f>CONCATENATE("***High Flow Bypassing Chamber  Recommended***
NJDEP requires all Up-Flo® Filters in NJ to be Off-Line.","                                                       ",Q59)</f>
        <v>***High Flow Bypassing Chamber  Recommended***
NJDEP requires all Up-Flo® Filters in NJ to be Off-Line.                                                       Use "DWG 1-7 Modules (Offline)" on Worksheet 3b.</v>
      </c>
      <c r="S47" s="118"/>
      <c r="T47" s="118"/>
      <c r="U47" s="118"/>
      <c r="V47" s="144" t="s">
        <v>152</v>
      </c>
      <c r="W47" s="118"/>
      <c r="X47" s="118"/>
      <c r="Y47" s="118"/>
      <c r="Z47" s="118"/>
      <c r="AA47" s="118"/>
      <c r="AB47" s="118"/>
      <c r="AC47" s="118"/>
      <c r="AD47" s="118"/>
      <c r="AE47" s="118"/>
      <c r="AF47" s="118"/>
      <c r="AG47" s="118"/>
      <c r="AH47" s="91"/>
      <c r="AI47" s="91"/>
      <c r="AJ47" s="141"/>
      <c r="AK47" s="141"/>
      <c r="AL47" s="141"/>
      <c r="AM47" s="141"/>
      <c r="AN47" s="141"/>
      <c r="AO47" s="14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row>
    <row r="48" spans="2:110" s="93" customFormat="1" x14ac:dyDescent="0.25">
      <c r="M48" s="118"/>
      <c r="N48" s="118"/>
      <c r="O48" s="118"/>
      <c r="P48" s="118"/>
      <c r="Q48" s="118"/>
      <c r="R48" s="118"/>
      <c r="S48" s="118"/>
      <c r="T48" s="118"/>
      <c r="U48" s="118"/>
      <c r="V48" s="93" t="s">
        <v>151</v>
      </c>
      <c r="Z48" s="93" t="str">
        <f>IF(K20=0," ",IF(C19="New Jersey DEP Certified Sizing (0.056 cfs/Module)","offline",IF(K20&lt;=U18,"online","offline")))</f>
        <v>online</v>
      </c>
      <c r="AB48" s="118"/>
      <c r="AC48" s="118"/>
      <c r="AD48" s="118"/>
      <c r="AE48" s="118"/>
      <c r="AF48" s="118"/>
      <c r="AG48" s="118"/>
      <c r="AH48" s="91"/>
      <c r="AI48" s="91"/>
      <c r="AJ48" s="141"/>
      <c r="AK48" s="141"/>
      <c r="AL48" s="141"/>
      <c r="AM48" s="141"/>
      <c r="AN48" s="141"/>
      <c r="AO48" s="14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row>
    <row r="49" spans="13:110" s="93" customFormat="1" x14ac:dyDescent="0.25">
      <c r="M49" s="118"/>
      <c r="N49" s="118"/>
      <c r="O49" s="118"/>
      <c r="P49" s="118"/>
      <c r="Q49" s="118"/>
      <c r="R49" s="118"/>
      <c r="S49" s="118"/>
      <c r="T49" s="118"/>
      <c r="U49" s="118"/>
      <c r="V49" s="118" t="s">
        <v>308</v>
      </c>
      <c r="W49" s="118"/>
      <c r="X49" s="118"/>
      <c r="Y49" s="118"/>
      <c r="Z49" s="118" t="str">
        <f>IF(K20=0," ",IF(K20&lt;=U18,IF(V18=FALSE, "offline", IF(S8&gt;V18, "offline", "online"))))</f>
        <v>offline</v>
      </c>
      <c r="AA49" s="118"/>
      <c r="AB49" s="118"/>
      <c r="AC49" s="118"/>
      <c r="AD49" s="118"/>
      <c r="AE49" s="118"/>
      <c r="AF49" s="118"/>
      <c r="AG49" s="118"/>
      <c r="AH49" s="91"/>
      <c r="AI49" s="91"/>
      <c r="AJ49" s="141"/>
      <c r="AK49" s="141"/>
      <c r="AL49" s="141"/>
      <c r="AM49" s="141"/>
      <c r="AN49" s="141"/>
      <c r="AO49" s="14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row>
    <row r="50" spans="13:110" s="93" customFormat="1" x14ac:dyDescent="0.25">
      <c r="M50" s="118"/>
      <c r="N50" s="118"/>
      <c r="O50" s="118"/>
      <c r="P50" s="118"/>
      <c r="Q50" s="118"/>
      <c r="R50" s="118"/>
      <c r="S50" s="118"/>
      <c r="T50" s="118"/>
      <c r="U50" s="118"/>
      <c r="V50" s="118" t="s">
        <v>309</v>
      </c>
      <c r="W50" s="118"/>
      <c r="X50" s="118"/>
      <c r="Y50" s="118"/>
      <c r="Z50" s="118">
        <f>IF(C22="Yes ", 1, 2)</f>
        <v>2</v>
      </c>
      <c r="AA50" s="118"/>
      <c r="AB50" s="118"/>
      <c r="AC50" s="118"/>
      <c r="AD50" s="118"/>
      <c r="AE50" s="118"/>
      <c r="AF50" s="118"/>
      <c r="AG50" s="11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row>
    <row r="51" spans="13:110" s="93" customFormat="1" ht="60" x14ac:dyDescent="0.25">
      <c r="M51" s="118"/>
      <c r="N51" s="118"/>
      <c r="O51" s="118"/>
      <c r="P51" s="118"/>
      <c r="Q51" s="128" t="str">
        <f>CONCATENATE("***Offline System Recommended***
User input indicates that Filtration Systems must be offline.","                                                                                 ",Q59)</f>
        <v>***Offline System Recommended***
User input indicates that Filtration Systems must be offline.                                                                                 Use "DWG 1-7 Modules (Offline)" on Worksheet 3b.</v>
      </c>
      <c r="R51" s="118"/>
      <c r="S51" s="118"/>
      <c r="T51" s="118"/>
      <c r="U51" s="118"/>
      <c r="V51" s="118" t="s">
        <v>150</v>
      </c>
      <c r="W51" s="118"/>
      <c r="X51" s="118"/>
      <c r="Y51" s="118"/>
      <c r="Z51" s="118" t="str">
        <f>IF(Z50=1, "Offline", IF(C19="New Jersey DEP Certified Sizing (0.056 cfs/Module)", "Offline", IF(Z48="offline", "Offline", IF(Z49="offline", "Offline", "Online"))))</f>
        <v>Offline</v>
      </c>
      <c r="AA51" s="118"/>
      <c r="AB51" s="118"/>
      <c r="AC51" s="118"/>
      <c r="AD51" s="118"/>
      <c r="AE51" s="118"/>
      <c r="AF51" s="118"/>
      <c r="AG51" s="11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row>
    <row r="52" spans="13:110" s="93" customFormat="1" ht="15.75" thickBot="1" x14ac:dyDescent="0.3">
      <c r="M52" s="118"/>
      <c r="N52" s="118"/>
      <c r="O52" s="118"/>
      <c r="P52" s="121"/>
      <c r="Q52" s="121"/>
      <c r="R52" s="121"/>
      <c r="S52" s="121"/>
      <c r="T52" s="121"/>
      <c r="U52" s="121"/>
      <c r="V52" s="121"/>
      <c r="W52" s="118"/>
      <c r="X52" s="118"/>
      <c r="Y52" s="118"/>
      <c r="Z52" s="118"/>
      <c r="AA52" s="118"/>
      <c r="AB52" s="118"/>
      <c r="AC52" s="118"/>
      <c r="AD52" s="118"/>
      <c r="AE52" s="118"/>
      <c r="AF52" s="118"/>
      <c r="AG52" s="11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row>
    <row r="53" spans="13:110" s="93" customFormat="1" ht="15.75" thickBot="1" x14ac:dyDescent="0.3">
      <c r="M53" s="118"/>
      <c r="N53" s="118"/>
      <c r="O53" s="118"/>
      <c r="P53" s="121"/>
      <c r="Q53" s="313" t="s">
        <v>326</v>
      </c>
      <c r="R53" s="121"/>
      <c r="S53" s="121"/>
      <c r="T53" s="121"/>
      <c r="U53" s="397" t="s">
        <v>153</v>
      </c>
      <c r="V53" s="398"/>
      <c r="W53" s="145" t="str">
        <f>IF(Z51="Online", "Online System Recommended", "Offline System Recommended")</f>
        <v>Offline System Recommended</v>
      </c>
      <c r="X53" s="118"/>
      <c r="Y53" s="118"/>
      <c r="Z53" s="118"/>
      <c r="AA53" s="118"/>
      <c r="AB53" s="118"/>
      <c r="AC53" s="118"/>
      <c r="AD53" s="118"/>
      <c r="AE53" s="118"/>
      <c r="AF53" s="118"/>
      <c r="AG53" s="11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row>
    <row r="54" spans="13:110" s="93" customFormat="1" x14ac:dyDescent="0.25">
      <c r="M54" s="118"/>
      <c r="N54" s="118"/>
      <c r="O54" s="118"/>
      <c r="P54" s="121"/>
      <c r="Q54" s="121" t="s">
        <v>327</v>
      </c>
      <c r="R54" s="121"/>
      <c r="S54" s="121"/>
      <c r="T54" s="121"/>
      <c r="U54" s="121"/>
      <c r="V54" s="121"/>
      <c r="W54" s="118"/>
      <c r="X54" s="118"/>
      <c r="Y54" s="118"/>
      <c r="Z54" s="118"/>
      <c r="AA54" s="118"/>
      <c r="AB54" s="118"/>
      <c r="AC54" s="118"/>
      <c r="AD54" s="118"/>
      <c r="AE54" s="118"/>
      <c r="AF54" s="118"/>
      <c r="AG54" s="11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row>
    <row r="55" spans="13:110" s="93" customFormat="1" x14ac:dyDescent="0.25">
      <c r="M55" s="118"/>
      <c r="N55" s="118"/>
      <c r="O55" s="118"/>
      <c r="P55" s="121"/>
      <c r="Q55" s="121" t="s">
        <v>328</v>
      </c>
      <c r="R55" s="121"/>
      <c r="S55" s="121"/>
      <c r="T55" s="121"/>
      <c r="U55" s="121"/>
      <c r="V55" s="124" t="s">
        <v>93</v>
      </c>
      <c r="W55" s="118"/>
      <c r="X55" s="118"/>
      <c r="Y55" s="118"/>
      <c r="Z55" s="118"/>
      <c r="AA55" s="118"/>
      <c r="AB55" s="118"/>
      <c r="AC55" s="118"/>
      <c r="AD55" s="118"/>
      <c r="AE55" s="118"/>
      <c r="AF55" s="118"/>
      <c r="AG55" s="11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row>
    <row r="56" spans="13:110" s="93" customFormat="1" x14ac:dyDescent="0.25">
      <c r="M56" s="118"/>
      <c r="N56" s="118"/>
      <c r="O56" s="118"/>
      <c r="P56" s="118"/>
      <c r="Q56" s="118" t="s">
        <v>329</v>
      </c>
      <c r="R56" s="118"/>
      <c r="S56" s="118"/>
      <c r="T56" s="118"/>
      <c r="U56" s="118"/>
      <c r="V56" s="129"/>
      <c r="W56" s="118"/>
      <c r="X56" s="118"/>
      <c r="Y56" s="118"/>
      <c r="Z56" s="118"/>
      <c r="AA56" s="118"/>
      <c r="AB56" s="118"/>
      <c r="AC56" s="118"/>
      <c r="AD56" s="118"/>
      <c r="AE56" s="118"/>
      <c r="AF56" s="118"/>
      <c r="AG56" s="11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row>
    <row r="57" spans="13:110" s="93" customFormat="1" x14ac:dyDescent="0.25">
      <c r="M57" s="118"/>
      <c r="N57" s="118"/>
      <c r="O57" s="118"/>
      <c r="P57" s="118"/>
      <c r="Q57" s="118" t="s">
        <v>330</v>
      </c>
      <c r="R57" s="118"/>
      <c r="S57" s="118"/>
      <c r="T57" s="118"/>
      <c r="U57" s="118"/>
      <c r="V57" s="118"/>
      <c r="W57" s="118"/>
      <c r="X57" s="118"/>
      <c r="Y57" s="118"/>
      <c r="Z57" s="118"/>
      <c r="AA57" s="118"/>
      <c r="AB57" s="118"/>
      <c r="AC57" s="118"/>
      <c r="AD57" s="118"/>
      <c r="AE57" s="118"/>
      <c r="AF57" s="118"/>
      <c r="AG57" s="11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row>
    <row r="58" spans="13:110" s="93" customFormat="1" x14ac:dyDescent="0.25">
      <c r="M58" s="118"/>
      <c r="N58" s="118"/>
      <c r="O58" s="118"/>
      <c r="P58" s="118"/>
      <c r="Q58" s="286" t="s">
        <v>331</v>
      </c>
      <c r="R58" s="118"/>
      <c r="S58" s="118"/>
      <c r="T58" s="118"/>
      <c r="U58" s="118"/>
      <c r="V58" s="118"/>
      <c r="W58" s="118"/>
      <c r="X58" s="118"/>
      <c r="Y58" s="118"/>
      <c r="Z58" s="118"/>
      <c r="AA58" s="118"/>
      <c r="AB58" s="118"/>
      <c r="AC58" s="118"/>
      <c r="AD58" s="118"/>
      <c r="AE58" s="118"/>
      <c r="AF58" s="118"/>
      <c r="AG58" s="11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row>
    <row r="59" spans="13:110" s="93" customFormat="1" x14ac:dyDescent="0.25">
      <c r="M59" s="118"/>
      <c r="N59" s="118"/>
      <c r="O59" s="118"/>
      <c r="P59" s="118"/>
      <c r="Q59" s="118" t="str">
        <f>IF(R17&lt;8,Q54,IF(R17&lt;20,Q55,IF(R17&lt;39,Q56,IF(R17&lt;58,Q57," "))))</f>
        <v>Use "DWG 1-7 Modules (Offline)" on Worksheet 3b.</v>
      </c>
      <c r="R59" s="118"/>
      <c r="S59" s="118"/>
      <c r="T59" s="118"/>
      <c r="U59" s="118"/>
      <c r="V59" s="118"/>
      <c r="W59" s="118"/>
      <c r="X59" s="118"/>
      <c r="Y59" s="118"/>
      <c r="Z59" s="118"/>
      <c r="AA59" s="118"/>
      <c r="AB59" s="118"/>
      <c r="AC59" s="118"/>
      <c r="AD59" s="118"/>
      <c r="AE59" s="118"/>
      <c r="AF59" s="118"/>
      <c r="AG59" s="11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row>
    <row r="60" spans="13:110" s="93" customFormat="1" x14ac:dyDescent="0.25">
      <c r="M60" s="118"/>
      <c r="N60" s="118"/>
      <c r="O60" s="118"/>
      <c r="P60" s="118"/>
      <c r="Q60" s="118"/>
      <c r="R60" s="118"/>
      <c r="S60" s="118"/>
      <c r="T60" s="118"/>
      <c r="U60" s="118"/>
      <c r="V60" s="118"/>
      <c r="W60" s="118"/>
      <c r="X60" s="118"/>
      <c r="Y60" s="118"/>
      <c r="Z60" s="118"/>
      <c r="AA60" s="118"/>
      <c r="AB60" s="118"/>
      <c r="AC60" s="118"/>
      <c r="AD60" s="118"/>
      <c r="AE60" s="118"/>
      <c r="AF60" s="118"/>
      <c r="AG60" s="11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row>
    <row r="61" spans="13:110" s="93" customFormat="1" x14ac:dyDescent="0.25">
      <c r="M61" s="118"/>
      <c r="N61" s="118"/>
      <c r="O61" s="118"/>
      <c r="P61" s="118"/>
      <c r="Q61" s="118"/>
      <c r="R61" s="118"/>
      <c r="S61" s="118"/>
      <c r="T61" s="118"/>
      <c r="U61" s="118"/>
      <c r="V61" s="118"/>
      <c r="W61" s="118"/>
      <c r="X61" s="118"/>
      <c r="Y61" s="118"/>
      <c r="Z61" s="118"/>
      <c r="AA61" s="118"/>
      <c r="AB61" s="118"/>
      <c r="AC61" s="118"/>
      <c r="AD61" s="118"/>
      <c r="AE61" s="118"/>
      <c r="AF61" s="118"/>
      <c r="AG61" s="11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row>
    <row r="62" spans="13:110" s="93" customFormat="1" x14ac:dyDescent="0.25">
      <c r="M62" s="118"/>
      <c r="N62" s="118"/>
      <c r="O62" s="118"/>
      <c r="P62" s="118"/>
      <c r="Q62" s="118"/>
      <c r="R62" s="118"/>
      <c r="S62" s="118"/>
      <c r="T62" s="118"/>
      <c r="U62" s="118"/>
      <c r="V62" s="118"/>
      <c r="W62" s="118"/>
      <c r="X62" s="118"/>
      <c r="Y62" s="118"/>
      <c r="Z62" s="118"/>
      <c r="AA62" s="118"/>
      <c r="AB62" s="118"/>
      <c r="AC62" s="118"/>
      <c r="AD62" s="118"/>
      <c r="AE62" s="118"/>
      <c r="AF62" s="118"/>
      <c r="AG62" s="11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row>
    <row r="63" spans="13:110" s="93" customFormat="1" x14ac:dyDescent="0.25">
      <c r="M63" s="118"/>
      <c r="N63" s="118"/>
      <c r="O63" s="118"/>
      <c r="P63" s="118"/>
      <c r="Q63" s="118"/>
      <c r="R63" s="118"/>
      <c r="S63" s="118"/>
      <c r="T63" s="118"/>
      <c r="U63" s="118"/>
      <c r="V63" s="118"/>
      <c r="W63" s="118"/>
      <c r="X63" s="118"/>
      <c r="Y63" s="118"/>
      <c r="Z63" s="118"/>
      <c r="AA63" s="118"/>
      <c r="AB63" s="118"/>
      <c r="AC63" s="118"/>
      <c r="AD63" s="118"/>
      <c r="AE63" s="118"/>
      <c r="AF63" s="118"/>
      <c r="AG63" s="11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row>
    <row r="64" spans="13:110" s="93" customFormat="1" x14ac:dyDescent="0.25">
      <c r="M64" s="118"/>
      <c r="N64" s="118"/>
      <c r="O64" s="118"/>
      <c r="P64" s="118"/>
      <c r="Q64" s="118"/>
      <c r="R64" s="118"/>
      <c r="S64" s="118"/>
      <c r="T64" s="118"/>
      <c r="U64" s="118"/>
      <c r="V64" s="118"/>
      <c r="W64" s="118"/>
      <c r="X64" s="118"/>
      <c r="Y64" s="118"/>
      <c r="Z64" s="118"/>
      <c r="AA64" s="118"/>
      <c r="AB64" s="118"/>
      <c r="AC64" s="118"/>
      <c r="AD64" s="118"/>
      <c r="AE64" s="118"/>
      <c r="AF64" s="118"/>
      <c r="AG64" s="11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row>
    <row r="65" spans="13:110" s="93" customFormat="1" x14ac:dyDescent="0.25">
      <c r="M65" s="118"/>
      <c r="N65" s="118"/>
      <c r="O65" s="118"/>
      <c r="P65" s="118"/>
      <c r="Q65" s="118"/>
      <c r="R65" s="118"/>
      <c r="S65" s="118"/>
      <c r="T65" s="118"/>
      <c r="U65" s="118"/>
      <c r="V65" s="118"/>
      <c r="W65" s="118"/>
      <c r="X65" s="118"/>
      <c r="Y65" s="118"/>
      <c r="Z65" s="118"/>
      <c r="AA65" s="118"/>
      <c r="AB65" s="118"/>
      <c r="AC65" s="118"/>
      <c r="AD65" s="118"/>
      <c r="AE65" s="118"/>
      <c r="AF65" s="118"/>
      <c r="AG65" s="11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row>
    <row r="66" spans="13:110" s="93" customFormat="1" x14ac:dyDescent="0.25">
      <c r="M66" s="118"/>
      <c r="N66" s="118"/>
      <c r="O66" s="118"/>
      <c r="P66" s="118"/>
      <c r="Q66" s="118"/>
      <c r="R66" s="118"/>
      <c r="S66" s="118"/>
      <c r="T66" s="118"/>
      <c r="U66" s="118"/>
      <c r="V66" s="118"/>
      <c r="W66" s="118"/>
      <c r="X66" s="118"/>
      <c r="Y66" s="118"/>
      <c r="Z66" s="118"/>
      <c r="AA66" s="118"/>
      <c r="AB66" s="118"/>
      <c r="AC66" s="118"/>
      <c r="AD66" s="118"/>
      <c r="AE66" s="118"/>
      <c r="AF66" s="118"/>
      <c r="AG66" s="11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row>
    <row r="67" spans="13:110" s="93" customFormat="1" x14ac:dyDescent="0.25">
      <c r="M67" s="118"/>
      <c r="N67" s="118"/>
      <c r="O67" s="118"/>
      <c r="P67" s="118"/>
      <c r="Q67" s="118"/>
      <c r="R67" s="118"/>
      <c r="S67" s="118"/>
      <c r="T67" s="118"/>
      <c r="U67" s="118"/>
      <c r="V67" s="118"/>
      <c r="W67" s="118"/>
      <c r="X67" s="118"/>
      <c r="Y67" s="118"/>
      <c r="Z67" s="118"/>
      <c r="AA67" s="118"/>
      <c r="AB67" s="118"/>
      <c r="AC67" s="118"/>
      <c r="AD67" s="118"/>
      <c r="AE67" s="118"/>
      <c r="AF67" s="118"/>
      <c r="AG67" s="11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row>
    <row r="68" spans="13:110" s="93" customFormat="1" x14ac:dyDescent="0.25">
      <c r="M68" s="118"/>
      <c r="N68" s="118"/>
      <c r="O68" s="118"/>
      <c r="P68" s="118"/>
      <c r="Q68" s="118"/>
      <c r="R68" s="118"/>
      <c r="S68" s="118"/>
      <c r="T68" s="118"/>
      <c r="U68" s="118"/>
      <c r="V68" s="118"/>
      <c r="W68" s="118"/>
      <c r="X68" s="118"/>
      <c r="Y68" s="118"/>
      <c r="Z68" s="118"/>
      <c r="AA68" s="118"/>
      <c r="AB68" s="118"/>
      <c r="AC68" s="118"/>
      <c r="AD68" s="118"/>
      <c r="AE68" s="118"/>
      <c r="AF68" s="118"/>
      <c r="AG68" s="11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row>
    <row r="69" spans="13:110" s="93" customFormat="1" x14ac:dyDescent="0.25">
      <c r="M69" s="118"/>
      <c r="N69" s="118"/>
      <c r="O69" s="118"/>
      <c r="P69" s="118"/>
      <c r="Q69" s="118"/>
      <c r="R69" s="118"/>
      <c r="S69" s="118"/>
      <c r="T69" s="118"/>
      <c r="U69" s="118"/>
      <c r="V69" s="118"/>
      <c r="W69" s="118"/>
      <c r="X69" s="118"/>
      <c r="Y69" s="118"/>
      <c r="Z69" s="118"/>
      <c r="AA69" s="118"/>
      <c r="AB69" s="118"/>
      <c r="AC69" s="118"/>
      <c r="AD69" s="118"/>
      <c r="AE69" s="118"/>
      <c r="AF69" s="118"/>
      <c r="AG69" s="11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row>
    <row r="70" spans="13:110" s="93" customFormat="1" x14ac:dyDescent="0.25">
      <c r="M70" s="118"/>
      <c r="N70" s="118"/>
      <c r="O70" s="118"/>
      <c r="P70" s="118"/>
      <c r="Q70" s="118"/>
      <c r="R70" s="118"/>
      <c r="S70" s="118"/>
      <c r="T70" s="118"/>
      <c r="U70" s="118"/>
      <c r="V70" s="118"/>
      <c r="W70" s="118"/>
      <c r="X70" s="118"/>
      <c r="Y70" s="118"/>
      <c r="Z70" s="118"/>
      <c r="AA70" s="118"/>
      <c r="AB70" s="118"/>
      <c r="AC70" s="118"/>
      <c r="AD70" s="118"/>
      <c r="AE70" s="118"/>
      <c r="AF70" s="118"/>
      <c r="AG70" s="11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row>
    <row r="71" spans="13:110" s="93" customFormat="1" x14ac:dyDescent="0.25">
      <c r="M71" s="118"/>
      <c r="N71" s="118"/>
      <c r="O71" s="118"/>
      <c r="P71" s="118"/>
      <c r="Q71" s="118"/>
      <c r="R71" s="118"/>
      <c r="S71" s="118"/>
      <c r="T71" s="118"/>
      <c r="U71" s="118"/>
      <c r="V71" s="118"/>
      <c r="W71" s="118"/>
      <c r="X71" s="118"/>
      <c r="Y71" s="118"/>
      <c r="Z71" s="118"/>
      <c r="AA71" s="118"/>
      <c r="AB71" s="118"/>
      <c r="AC71" s="118"/>
      <c r="AD71" s="118"/>
      <c r="AE71" s="118"/>
      <c r="AF71" s="118"/>
      <c r="AG71" s="11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row>
    <row r="72" spans="13:110" s="93" customFormat="1" x14ac:dyDescent="0.25">
      <c r="M72" s="118"/>
      <c r="N72" s="118"/>
      <c r="O72" s="118"/>
      <c r="P72" s="118"/>
      <c r="Q72" s="118"/>
      <c r="R72" s="118"/>
      <c r="S72" s="118"/>
      <c r="T72" s="118"/>
      <c r="U72" s="118"/>
      <c r="V72" s="118"/>
      <c r="W72" s="118"/>
      <c r="X72" s="118"/>
      <c r="Y72" s="118"/>
      <c r="Z72" s="118"/>
      <c r="AA72" s="118"/>
      <c r="AB72" s="118"/>
      <c r="AC72" s="118"/>
      <c r="AD72" s="118"/>
      <c r="AE72" s="118"/>
      <c r="AF72" s="118"/>
      <c r="AG72" s="11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row>
    <row r="73" spans="13:110" s="93" customFormat="1" x14ac:dyDescent="0.25">
      <c r="M73" s="118"/>
      <c r="N73" s="118"/>
      <c r="O73" s="118"/>
      <c r="P73" s="118"/>
      <c r="Q73" s="118"/>
      <c r="R73" s="118"/>
      <c r="S73" s="118"/>
      <c r="T73" s="118"/>
      <c r="U73" s="118"/>
      <c r="V73" s="118"/>
      <c r="W73" s="118"/>
      <c r="X73" s="118"/>
      <c r="Y73" s="118"/>
      <c r="Z73" s="118"/>
      <c r="AA73" s="118"/>
      <c r="AB73" s="118"/>
      <c r="AC73" s="118"/>
      <c r="AD73" s="118"/>
      <c r="AE73" s="118"/>
      <c r="AF73" s="118"/>
      <c r="AG73" s="11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row>
    <row r="74" spans="13:110" s="93" customFormat="1" x14ac:dyDescent="0.25">
      <c r="M74" s="118"/>
      <c r="N74" s="118"/>
      <c r="O74" s="118"/>
      <c r="P74" s="118"/>
      <c r="Q74" s="118"/>
      <c r="R74" s="118"/>
      <c r="S74" s="118"/>
      <c r="T74" s="118"/>
      <c r="U74" s="118"/>
      <c r="V74" s="118"/>
      <c r="W74" s="118"/>
      <c r="X74" s="118"/>
      <c r="Y74" s="118"/>
      <c r="Z74" s="118"/>
      <c r="AA74" s="118"/>
      <c r="AB74" s="118"/>
      <c r="AC74" s="118"/>
      <c r="AD74" s="118"/>
      <c r="AE74" s="118"/>
      <c r="AF74" s="118"/>
      <c r="AG74" s="11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row>
    <row r="75" spans="13:110" s="93" customFormat="1" x14ac:dyDescent="0.25">
      <c r="M75" s="118"/>
      <c r="N75" s="118"/>
      <c r="O75" s="118"/>
      <c r="P75" s="118"/>
      <c r="Q75" s="118"/>
      <c r="R75" s="118"/>
      <c r="S75" s="118"/>
      <c r="T75" s="118"/>
      <c r="U75" s="118"/>
      <c r="V75" s="118"/>
      <c r="W75" s="118"/>
      <c r="X75" s="118"/>
      <c r="Y75" s="118"/>
      <c r="Z75" s="118"/>
      <c r="AA75" s="118"/>
      <c r="AB75" s="118"/>
      <c r="AC75" s="118"/>
      <c r="AD75" s="118"/>
      <c r="AE75" s="118"/>
      <c r="AF75" s="118"/>
      <c r="AG75" s="11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row>
    <row r="76" spans="13:110" s="93" customFormat="1" x14ac:dyDescent="0.25">
      <c r="M76" s="118"/>
      <c r="N76" s="118"/>
      <c r="O76" s="118"/>
      <c r="P76" s="118"/>
      <c r="Q76" s="118"/>
      <c r="R76" s="118"/>
      <c r="S76" s="118"/>
      <c r="T76" s="118"/>
      <c r="U76" s="118"/>
      <c r="V76" s="118"/>
      <c r="W76" s="118"/>
      <c r="X76" s="118"/>
      <c r="Y76" s="118"/>
      <c r="Z76" s="118"/>
      <c r="AA76" s="118"/>
      <c r="AB76" s="118"/>
      <c r="AC76" s="118"/>
      <c r="AD76" s="118"/>
      <c r="AE76" s="118"/>
      <c r="AF76" s="118"/>
      <c r="AG76" s="11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row>
    <row r="77" spans="13:110" s="93" customFormat="1" x14ac:dyDescent="0.25">
      <c r="M77" s="118"/>
      <c r="N77" s="118"/>
      <c r="O77" s="118"/>
      <c r="P77" s="118"/>
      <c r="Q77" s="118"/>
      <c r="R77" s="118"/>
      <c r="S77" s="118"/>
      <c r="T77" s="118"/>
      <c r="U77" s="118"/>
      <c r="V77" s="118"/>
      <c r="W77" s="118"/>
      <c r="X77" s="118"/>
      <c r="Y77" s="118"/>
      <c r="Z77" s="118"/>
      <c r="AA77" s="118"/>
      <c r="AB77" s="118"/>
      <c r="AC77" s="118"/>
      <c r="AD77" s="118"/>
      <c r="AE77" s="118"/>
      <c r="AF77" s="118"/>
      <c r="AG77" s="11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row>
    <row r="78" spans="13:110" s="93" customFormat="1" x14ac:dyDescent="0.25">
      <c r="M78" s="118"/>
      <c r="N78" s="118"/>
      <c r="O78" s="118"/>
      <c r="P78" s="118"/>
      <c r="Q78" s="118"/>
      <c r="R78" s="118"/>
      <c r="S78" s="118"/>
      <c r="T78" s="118"/>
      <c r="U78" s="118"/>
      <c r="V78" s="118"/>
      <c r="W78" s="118"/>
      <c r="X78" s="118"/>
      <c r="Y78" s="118"/>
      <c r="Z78" s="118"/>
      <c r="AA78" s="118"/>
      <c r="AB78" s="118"/>
      <c r="AC78" s="118"/>
      <c r="AD78" s="118"/>
      <c r="AE78" s="118"/>
      <c r="AF78" s="118"/>
      <c r="AG78" s="11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row>
    <row r="79" spans="13:110" s="93" customFormat="1" x14ac:dyDescent="0.25">
      <c r="M79" s="118"/>
      <c r="N79" s="118"/>
      <c r="O79" s="118"/>
      <c r="P79" s="118"/>
      <c r="Q79" s="118"/>
      <c r="R79" s="118"/>
      <c r="S79" s="118"/>
      <c r="T79" s="118"/>
      <c r="U79" s="118"/>
      <c r="V79" s="118"/>
      <c r="W79" s="118"/>
      <c r="X79" s="118"/>
      <c r="Y79" s="118"/>
      <c r="Z79" s="118"/>
      <c r="AA79" s="118"/>
      <c r="AB79" s="118"/>
      <c r="AC79" s="118"/>
      <c r="AD79" s="118"/>
      <c r="AE79" s="118"/>
      <c r="AF79" s="118"/>
      <c r="AG79" s="11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row>
    <row r="80" spans="13:110" s="93" customFormat="1" x14ac:dyDescent="0.25">
      <c r="M80" s="118"/>
      <c r="N80" s="118"/>
      <c r="O80" s="118"/>
      <c r="P80" s="118"/>
      <c r="Q80" s="118"/>
      <c r="R80" s="118"/>
      <c r="S80" s="118"/>
      <c r="T80" s="118"/>
      <c r="U80" s="118"/>
      <c r="V80" s="118"/>
      <c r="W80" s="118"/>
      <c r="X80" s="118"/>
      <c r="Y80" s="118"/>
      <c r="Z80" s="118"/>
      <c r="AA80" s="118"/>
      <c r="AB80" s="118"/>
      <c r="AC80" s="118"/>
      <c r="AD80" s="118"/>
      <c r="AE80" s="118"/>
      <c r="AF80" s="118"/>
      <c r="AG80" s="11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row>
    <row r="81" spans="13:110" s="93" customFormat="1" x14ac:dyDescent="0.25">
      <c r="M81" s="118"/>
      <c r="N81" s="118"/>
      <c r="O81" s="118"/>
      <c r="P81" s="118"/>
      <c r="Q81" s="118"/>
      <c r="R81" s="118"/>
      <c r="S81" s="118"/>
      <c r="T81" s="118"/>
      <c r="U81" s="118"/>
      <c r="V81" s="118"/>
      <c r="W81" s="118"/>
      <c r="X81" s="118"/>
      <c r="Y81" s="118"/>
      <c r="Z81" s="118"/>
      <c r="AA81" s="118"/>
      <c r="AB81" s="118"/>
      <c r="AC81" s="118"/>
      <c r="AD81" s="118"/>
      <c r="AE81" s="118"/>
      <c r="AF81" s="118"/>
      <c r="AG81" s="11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row>
    <row r="82" spans="13:110" s="93" customFormat="1" x14ac:dyDescent="0.25">
      <c r="M82" s="118"/>
      <c r="N82" s="118"/>
      <c r="O82" s="118"/>
      <c r="P82" s="118"/>
      <c r="Q82" s="118"/>
      <c r="R82" s="118"/>
      <c r="S82" s="118"/>
      <c r="T82" s="118"/>
      <c r="U82" s="118"/>
      <c r="V82" s="118"/>
      <c r="W82" s="118"/>
      <c r="X82" s="118"/>
      <c r="Y82" s="118"/>
      <c r="Z82" s="118"/>
      <c r="AA82" s="118"/>
      <c r="AB82" s="118"/>
      <c r="AC82" s="118"/>
      <c r="AD82" s="118"/>
      <c r="AE82" s="118"/>
      <c r="AF82" s="118"/>
      <c r="AG82" s="11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row>
    <row r="83" spans="13:110" s="93" customFormat="1" x14ac:dyDescent="0.25">
      <c r="M83" s="118"/>
      <c r="N83" s="118"/>
      <c r="O83" s="118"/>
      <c r="P83" s="118"/>
      <c r="Q83" s="118"/>
      <c r="R83" s="118"/>
      <c r="S83" s="118"/>
      <c r="T83" s="118"/>
      <c r="U83" s="118"/>
      <c r="V83" s="118"/>
      <c r="W83" s="118"/>
      <c r="X83" s="118"/>
      <c r="Y83" s="118"/>
      <c r="Z83" s="118"/>
      <c r="AA83" s="118"/>
      <c r="AB83" s="118"/>
      <c r="AC83" s="118"/>
      <c r="AD83" s="118"/>
      <c r="AE83" s="118"/>
      <c r="AF83" s="118"/>
      <c r="AG83" s="11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row>
    <row r="84" spans="13:110" s="93" customFormat="1" x14ac:dyDescent="0.25">
      <c r="M84" s="118"/>
      <c r="N84" s="118"/>
      <c r="O84" s="118"/>
      <c r="P84" s="118"/>
      <c r="Q84" s="118"/>
      <c r="R84" s="118"/>
      <c r="S84" s="118"/>
      <c r="T84" s="118"/>
      <c r="U84" s="118"/>
      <c r="V84" s="118"/>
      <c r="W84" s="118"/>
      <c r="X84" s="118"/>
      <c r="Y84" s="118"/>
      <c r="Z84" s="118"/>
      <c r="AA84" s="118"/>
      <c r="AB84" s="118"/>
      <c r="AC84" s="118"/>
      <c r="AD84" s="118"/>
      <c r="AE84" s="118"/>
      <c r="AF84" s="118"/>
      <c r="AG84" s="11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row>
    <row r="85" spans="13:110" s="93" customFormat="1" x14ac:dyDescent="0.25">
      <c r="M85" s="118"/>
      <c r="N85" s="118"/>
      <c r="O85" s="118"/>
      <c r="P85" s="118"/>
      <c r="Q85" s="118"/>
      <c r="R85" s="118"/>
      <c r="S85" s="118"/>
      <c r="T85" s="118"/>
      <c r="U85" s="118"/>
      <c r="V85" s="118"/>
      <c r="W85" s="118"/>
      <c r="X85" s="118"/>
      <c r="Y85" s="118"/>
      <c r="Z85" s="118"/>
      <c r="AA85" s="118"/>
      <c r="AB85" s="118"/>
      <c r="AC85" s="118"/>
      <c r="AD85" s="118"/>
      <c r="AE85" s="118"/>
      <c r="AF85" s="118"/>
      <c r="AG85" s="11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row>
    <row r="86" spans="13:110" s="93" customFormat="1" x14ac:dyDescent="0.25">
      <c r="M86" s="118"/>
      <c r="N86" s="118"/>
      <c r="O86" s="118"/>
      <c r="P86" s="118"/>
      <c r="Q86" s="118"/>
      <c r="R86" s="118"/>
      <c r="S86" s="118"/>
      <c r="T86" s="118"/>
      <c r="U86" s="118"/>
      <c r="V86" s="118"/>
      <c r="W86" s="118"/>
      <c r="X86" s="118"/>
      <c r="Y86" s="118"/>
      <c r="Z86" s="118"/>
      <c r="AA86" s="118"/>
      <c r="AB86" s="118"/>
      <c r="AC86" s="118"/>
      <c r="AD86" s="118"/>
      <c r="AE86" s="118"/>
      <c r="AF86" s="118"/>
      <c r="AG86" s="11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row>
    <row r="87" spans="13:110" s="93" customFormat="1" x14ac:dyDescent="0.25">
      <c r="M87" s="118"/>
      <c r="N87" s="118"/>
      <c r="O87" s="118"/>
      <c r="P87" s="118"/>
      <c r="Q87" s="118"/>
      <c r="R87" s="118"/>
      <c r="S87" s="118"/>
      <c r="T87" s="118"/>
      <c r="U87" s="118"/>
      <c r="V87" s="118"/>
      <c r="W87" s="118"/>
      <c r="X87" s="118"/>
      <c r="Y87" s="118"/>
      <c r="Z87" s="118"/>
      <c r="AA87" s="118"/>
      <c r="AB87" s="118"/>
      <c r="AC87" s="118"/>
      <c r="AD87" s="118"/>
      <c r="AE87" s="118"/>
      <c r="AF87" s="118"/>
      <c r="AG87" s="11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row>
    <row r="88" spans="13:110" s="93" customFormat="1" x14ac:dyDescent="0.25">
      <c r="M88" s="118"/>
      <c r="N88" s="118"/>
      <c r="O88" s="118"/>
      <c r="P88" s="118"/>
      <c r="Q88" s="118"/>
      <c r="R88" s="118"/>
      <c r="S88" s="118"/>
      <c r="T88" s="118"/>
      <c r="U88" s="118"/>
      <c r="V88" s="118"/>
      <c r="W88" s="118"/>
      <c r="X88" s="118"/>
      <c r="Y88" s="118"/>
      <c r="Z88" s="118"/>
      <c r="AA88" s="118"/>
      <c r="AB88" s="118"/>
      <c r="AC88" s="118"/>
      <c r="AD88" s="118"/>
      <c r="AE88" s="118"/>
      <c r="AF88" s="118"/>
      <c r="AG88" s="11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row>
    <row r="89" spans="13:110" s="93" customFormat="1" x14ac:dyDescent="0.25">
      <c r="M89" s="118"/>
      <c r="N89" s="118"/>
      <c r="O89" s="118"/>
      <c r="P89" s="118"/>
      <c r="Q89" s="118"/>
      <c r="R89" s="118"/>
      <c r="S89" s="118"/>
      <c r="T89" s="118"/>
      <c r="U89" s="118"/>
      <c r="V89" s="118"/>
      <c r="W89" s="118"/>
      <c r="X89" s="118"/>
      <c r="Y89" s="118"/>
      <c r="Z89" s="118"/>
      <c r="AA89" s="118"/>
      <c r="AB89" s="118"/>
      <c r="AC89" s="118"/>
      <c r="AD89" s="118"/>
      <c r="AE89" s="118"/>
      <c r="AF89" s="118"/>
      <c r="AG89" s="11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row>
    <row r="90" spans="13:110" s="93" customFormat="1" x14ac:dyDescent="0.25">
      <c r="M90" s="118"/>
      <c r="N90" s="118"/>
      <c r="O90" s="118"/>
      <c r="P90" s="118"/>
      <c r="Q90" s="118"/>
      <c r="R90" s="118"/>
      <c r="S90" s="118"/>
      <c r="T90" s="118"/>
      <c r="U90" s="118"/>
      <c r="V90" s="118"/>
      <c r="W90" s="118"/>
      <c r="X90" s="118"/>
      <c r="Y90" s="118"/>
      <c r="Z90" s="118"/>
      <c r="AA90" s="118"/>
      <c r="AB90" s="118"/>
      <c r="AC90" s="118"/>
      <c r="AD90" s="118"/>
      <c r="AE90" s="118"/>
      <c r="AF90" s="118"/>
      <c r="AG90" s="11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row>
    <row r="91" spans="13:110" s="93" customFormat="1" x14ac:dyDescent="0.25">
      <c r="M91" s="118"/>
      <c r="N91" s="118"/>
      <c r="O91" s="118"/>
      <c r="P91" s="118"/>
      <c r="Q91" s="118"/>
      <c r="R91" s="118"/>
      <c r="S91" s="118"/>
      <c r="T91" s="118"/>
      <c r="U91" s="118"/>
      <c r="V91" s="118"/>
      <c r="W91" s="118"/>
      <c r="X91" s="118"/>
      <c r="Y91" s="118"/>
      <c r="Z91" s="118"/>
      <c r="AA91" s="118"/>
      <c r="AB91" s="118"/>
      <c r="AC91" s="118"/>
      <c r="AD91" s="118"/>
      <c r="AE91" s="118"/>
      <c r="AF91" s="118"/>
      <c r="AG91" s="11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row>
    <row r="92" spans="13:110" s="93" customFormat="1" x14ac:dyDescent="0.25">
      <c r="M92" s="118"/>
      <c r="N92" s="118"/>
      <c r="O92" s="118"/>
      <c r="P92" s="118"/>
      <c r="Q92" s="118"/>
      <c r="R92" s="118"/>
      <c r="S92" s="118"/>
      <c r="T92" s="118"/>
      <c r="U92" s="118"/>
      <c r="V92" s="118"/>
      <c r="W92" s="118"/>
      <c r="X92" s="118"/>
      <c r="Y92" s="118"/>
      <c r="Z92" s="118"/>
      <c r="AA92" s="118"/>
      <c r="AB92" s="118"/>
      <c r="AC92" s="118"/>
      <c r="AD92" s="118"/>
      <c r="AE92" s="118"/>
      <c r="AF92" s="118"/>
      <c r="AG92" s="11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row>
    <row r="93" spans="13:110" s="93" customFormat="1" x14ac:dyDescent="0.25">
      <c r="M93" s="118"/>
      <c r="N93" s="118"/>
      <c r="O93" s="118"/>
      <c r="P93" s="118"/>
      <c r="Q93" s="118"/>
      <c r="R93" s="118"/>
      <c r="S93" s="118"/>
      <c r="T93" s="118"/>
      <c r="U93" s="118"/>
      <c r="V93" s="118"/>
      <c r="W93" s="118"/>
      <c r="X93" s="118"/>
      <c r="Y93" s="118"/>
      <c r="Z93" s="118"/>
      <c r="AA93" s="118"/>
      <c r="AB93" s="118"/>
      <c r="AC93" s="118"/>
      <c r="AD93" s="118"/>
      <c r="AE93" s="118"/>
      <c r="AF93" s="118"/>
      <c r="AG93" s="11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row>
    <row r="94" spans="13:110" s="93" customFormat="1" x14ac:dyDescent="0.25">
      <c r="M94" s="118"/>
      <c r="N94" s="118"/>
      <c r="O94" s="118"/>
      <c r="P94" s="118"/>
      <c r="Q94" s="118"/>
      <c r="R94" s="118"/>
      <c r="S94" s="118"/>
      <c r="T94" s="118"/>
      <c r="U94" s="118"/>
      <c r="V94" s="118"/>
      <c r="W94" s="118"/>
      <c r="X94" s="118"/>
      <c r="Y94" s="118"/>
      <c r="Z94" s="118"/>
      <c r="AA94" s="118"/>
      <c r="AB94" s="118"/>
      <c r="AC94" s="118"/>
      <c r="AD94" s="118"/>
      <c r="AE94" s="118"/>
      <c r="AF94" s="118"/>
      <c r="AG94" s="11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row>
    <row r="95" spans="13:110" s="93" customFormat="1" x14ac:dyDescent="0.25">
      <c r="M95" s="118"/>
      <c r="N95" s="118"/>
      <c r="O95" s="118"/>
      <c r="P95" s="118"/>
      <c r="Q95" s="118"/>
      <c r="R95" s="118"/>
      <c r="S95" s="118"/>
      <c r="T95" s="118"/>
      <c r="U95" s="118"/>
      <c r="V95" s="118"/>
      <c r="W95" s="118"/>
      <c r="X95" s="118"/>
      <c r="Y95" s="118"/>
      <c r="Z95" s="118"/>
      <c r="AA95" s="118"/>
      <c r="AB95" s="118"/>
      <c r="AC95" s="118"/>
      <c r="AD95" s="118"/>
      <c r="AE95" s="118"/>
      <c r="AF95" s="118"/>
      <c r="AG95" s="11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row>
    <row r="96" spans="13:110" s="93" customFormat="1" x14ac:dyDescent="0.25">
      <c r="M96" s="118"/>
      <c r="N96" s="118"/>
      <c r="O96" s="118"/>
      <c r="P96" s="118"/>
      <c r="Q96" s="118"/>
      <c r="R96" s="118"/>
      <c r="S96" s="118"/>
      <c r="T96" s="118"/>
      <c r="U96" s="118"/>
      <c r="V96" s="118"/>
      <c r="W96" s="118"/>
      <c r="X96" s="118"/>
      <c r="Y96" s="118"/>
      <c r="Z96" s="118"/>
      <c r="AA96" s="118"/>
      <c r="AB96" s="118"/>
      <c r="AC96" s="118"/>
      <c r="AD96" s="118"/>
      <c r="AE96" s="118"/>
      <c r="AF96" s="118"/>
      <c r="AG96" s="11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row>
    <row r="97" spans="13:110" s="93" customFormat="1" x14ac:dyDescent="0.25">
      <c r="M97" s="118"/>
      <c r="N97" s="118"/>
      <c r="O97" s="118"/>
      <c r="P97" s="118"/>
      <c r="Q97" s="118"/>
      <c r="R97" s="118"/>
      <c r="S97" s="118"/>
      <c r="T97" s="118"/>
      <c r="U97" s="118"/>
      <c r="V97" s="118"/>
      <c r="W97" s="118"/>
      <c r="X97" s="118"/>
      <c r="Y97" s="118"/>
      <c r="Z97" s="118"/>
      <c r="AA97" s="118"/>
      <c r="AB97" s="118"/>
      <c r="AC97" s="118"/>
      <c r="AD97" s="118"/>
      <c r="AE97" s="118"/>
      <c r="AF97" s="118"/>
      <c r="AG97" s="11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row>
    <row r="98" spans="13:110" s="93" customFormat="1" x14ac:dyDescent="0.25">
      <c r="M98" s="118"/>
      <c r="N98" s="118"/>
      <c r="O98" s="118"/>
      <c r="P98" s="118"/>
      <c r="Q98" s="118"/>
      <c r="R98" s="118"/>
      <c r="S98" s="118"/>
      <c r="T98" s="118"/>
      <c r="U98" s="118"/>
      <c r="V98" s="118"/>
      <c r="W98" s="118"/>
      <c r="X98" s="118"/>
      <c r="Y98" s="118"/>
      <c r="Z98" s="118"/>
      <c r="AA98" s="118"/>
      <c r="AB98" s="118"/>
      <c r="AC98" s="118"/>
      <c r="AD98" s="118"/>
      <c r="AE98" s="118"/>
      <c r="AF98" s="118"/>
      <c r="AG98" s="11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row>
  </sheetData>
  <sheetProtection algorithmName="SHA-512" hashValue="46kq64RtPYPDqko+HQ8PIyhM3KFDq4+g/GQHg6RtTiCx+rsATSWkihBNhVLGe1QVZNeJgjGAj/fL1Na1cHjx7g==" saltValue="RtEH7ycxEmPKwi3J8vTFRw==" spinCount="100000" sheet="1" objects="1" scenarios="1" selectLockedCells="1"/>
  <mergeCells count="30">
    <mergeCell ref="D12:E12"/>
    <mergeCell ref="D33:E33"/>
    <mergeCell ref="P29:R29"/>
    <mergeCell ref="D13:E13"/>
    <mergeCell ref="J17:J18"/>
    <mergeCell ref="H12:J12"/>
    <mergeCell ref="H13:J13"/>
    <mergeCell ref="H14:J14"/>
    <mergeCell ref="U53:V53"/>
    <mergeCell ref="S29:U29"/>
    <mergeCell ref="P19:Q19"/>
    <mergeCell ref="D29:E29"/>
    <mergeCell ref="C26:F27"/>
    <mergeCell ref="B39:L39"/>
    <mergeCell ref="D34:E34"/>
    <mergeCell ref="D35:E35"/>
    <mergeCell ref="D30:E30"/>
    <mergeCell ref="D32:E32"/>
    <mergeCell ref="D28:E28"/>
    <mergeCell ref="J19:J20"/>
    <mergeCell ref="C19:D19"/>
    <mergeCell ref="D36:E36"/>
    <mergeCell ref="D31:E31"/>
    <mergeCell ref="B1:L5"/>
    <mergeCell ref="C6:L6"/>
    <mergeCell ref="D11:E11"/>
    <mergeCell ref="C7:H8"/>
    <mergeCell ref="C9:I9"/>
    <mergeCell ref="I10:J10"/>
    <mergeCell ref="H11:J11"/>
  </mergeCells>
  <conditionalFormatting sqref="C19">
    <cfRule type="expression" dxfId="0" priority="3">
      <formula>IF($Q$1="Target Particle Size",TRUE, FALSE)</formula>
    </cfRule>
  </conditionalFormatting>
  <dataValidations xWindow="759" yWindow="492" count="10">
    <dataValidation type="decimal" allowBlank="1" showInputMessage="1" showErrorMessage="1" errorTitle="WQF Entry Error" error="The value entered exceeds the filtration rate of the largest available precast model (a 57-module Up-Flo).  Consider reducing the WQF (e.g.: multiple units) or contact Technical Support - Press the HELP button." promptTitle="What is this?" prompt="The treatment flow rate, typically derived from 0.5-1.5 inches of rainfall depth or a rainfall event that accounts for 70-90% of the annual runoff volume. _x000a__x000a_Example: in New Jersey it is the flow rate derived from the 1.25”/2hr NJ WQ design storm._x000a__x000a_" sqref="G18" xr:uid="{00000000-0002-0000-0100-000000000000}">
      <formula1>Q14</formula1>
      <formula2>R14</formula2>
    </dataValidation>
    <dataValidation type="decimal" operator="greaterThanOrEqual" showInputMessage="1" showErrorMessage="1" errorTitle="Stormdrain depth Requirement" error="5-ft of depth is needed from the Storm Drain Invert to the Rim.  Either: 1. Lower the Pipe Invert, or 2. Raise the Rim Elevation, or 3. Contact Hydro International for a low-profile Up-Flo Filter design." promptTitle="Minimum Requirment" prompt="Refer to image below. Min. Rim Elevation must be at least 5 ft higher than the Storm Drain Invert elevation. If this is not possible, contact Hydro International for a low-profile Up-Flo Filter design." sqref="K22" xr:uid="{00000000-0002-0000-0100-000001000000}">
      <formula1>W30</formula1>
    </dataValidation>
    <dataValidation type="decimal" errorStyle="warning" allowBlank="1" showInputMessage="1" showErrorMessage="1" errorTitle="Risk of Scour" error="The peak runoff from the site exceeds the treatment system's recommended capacity.  Bypassing the peak flow is recommended." promptTitle="What Is This?" prompt="This is the largest runoff rate expected from the catchment area that drains to the treatment system and is typically an infrequent event having a 25-100 year return frequency.  However it is regionally dependent and can be as frequent as a 5-year event" sqref="G20" xr:uid="{00000000-0002-0000-0100-000002000000}">
      <formula1>0</formula1>
      <formula2>AA50</formula2>
    </dataValidation>
    <dataValidation type="list" allowBlank="1" showInputMessage="1" showErrorMessage="1" promptTitle="Sizing Options" prompt="Select to size either based on Regulatory Approval OR by a Target Particle size." sqref="Q1" xr:uid="{00000000-0002-0000-0100-000003000000}">
      <formula1>$P$20:$P$21</formula1>
    </dataValidation>
    <dataValidation type="list" allowBlank="1" showInputMessage="1" showErrorMessage="1" sqref="D13:E13" xr:uid="{00000000-0002-0000-0100-000004000000}">
      <formula1>$W$22:$W$23</formula1>
    </dataValidation>
    <dataValidation allowBlank="1" showInputMessage="1" showErrorMessage="1" promptTitle="Minimum stormdrain depth" prompt="This will be the elevation of the Outlet Pipe Invert of the Up-Flo Filter. " sqref="K18" xr:uid="{00000000-0002-0000-0100-000005000000}"/>
    <dataValidation type="list" allowBlank="1" showInputMessage="1" showErrorMessage="1" promptTitle="Select Pipe Size from List." prompt="This will be the size of the Outlet from the Up-Flo Filter chamber. " sqref="K20" xr:uid="{00000000-0002-0000-0100-000006000000}">
      <formula1>$V$34:$V$41</formula1>
    </dataValidation>
    <dataValidation type="list" allowBlank="1" showInputMessage="1" showErrorMessage="1" sqref="H18 H20" xr:uid="{00000000-0002-0000-0100-000007000000}">
      <formula1>$P$26:$P$27</formula1>
    </dataValidation>
    <dataValidation type="list" allowBlank="1" showInputMessage="1" showErrorMessage="1" errorTitle="Incorrect Value" error="The value must be &quot;Yes&quot; or &quot;No&quot;. If you are not sure, select &quot;Yes&quot;." promptTitle="Select Yes or No" prompt="If you are not sure, selecct &quot;Yes&quot;." sqref="C22" xr:uid="{00000000-0002-0000-0100-000008000000}">
      <formula1>$R$26:$R$27</formula1>
    </dataValidation>
    <dataValidation type="list" allowBlank="1" showInputMessage="1" showErrorMessage="1" promptTitle="Regulatory Options" prompt="Hydro's Default Sizing is based on 80% Removal of Sil-Co-Sil 106-grade silica sand." sqref="C19:D19" xr:uid="{00000000-0002-0000-0100-000009000000}">
      <formula1>$Q$31:$Q$36</formula1>
    </dataValidation>
  </dataValidations>
  <printOptions horizontalCentered="1" verticalCentered="1"/>
  <pageMargins left="0.5" right="0.5" top="0.75" bottom="0.5" header="0.3" footer="0.3"/>
  <pageSetup scale="69" orientation="landscape" horizont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Z131"/>
  <sheetViews>
    <sheetView zoomScale="50" zoomScaleNormal="50" zoomScaleSheetLayoutView="52" zoomScalePageLayoutView="28" workbookViewId="0">
      <selection activeCell="M1" sqref="M1:S1048576"/>
    </sheetView>
  </sheetViews>
  <sheetFormatPr defaultColWidth="21.140625" defaultRowHeight="15" x14ac:dyDescent="0.25"/>
  <cols>
    <col min="1" max="10" width="24.7109375" style="87" customWidth="1"/>
    <col min="11" max="11" width="21.28515625" style="87" customWidth="1"/>
    <col min="12" max="12" width="21.140625" style="89" customWidth="1"/>
    <col min="13" max="19" width="21.140625" style="89" hidden="1" customWidth="1"/>
    <col min="20" max="22" width="21.140625" style="89" customWidth="1"/>
    <col min="23" max="23" width="21.140625" style="88" customWidth="1"/>
    <col min="24" max="34" width="21.140625" style="89" customWidth="1"/>
    <col min="35" max="35" width="21.140625" style="85" customWidth="1"/>
    <col min="36" max="16384" width="21.140625" style="87"/>
  </cols>
  <sheetData>
    <row r="1" spans="1:52" s="86" customFormat="1" ht="7.5" customHeight="1" x14ac:dyDescent="0.25">
      <c r="A1" s="2"/>
      <c r="B1" s="2"/>
      <c r="C1" s="2"/>
      <c r="D1" s="2"/>
      <c r="E1" s="2"/>
      <c r="F1" s="2"/>
      <c r="G1" s="2"/>
      <c r="H1" s="2"/>
      <c r="I1" s="2"/>
      <c r="J1" s="2"/>
      <c r="K1" s="2"/>
      <c r="L1" s="148"/>
      <c r="M1" s="89" t="s">
        <v>298</v>
      </c>
      <c r="N1" s="89">
        <f>'Flow Rate Charts'!M35</f>
        <v>4</v>
      </c>
      <c r="O1" s="89"/>
      <c r="P1" s="89"/>
      <c r="Q1" s="89"/>
      <c r="R1" s="89"/>
      <c r="S1" s="89"/>
      <c r="T1" s="89"/>
      <c r="U1" s="89"/>
      <c r="V1" s="89"/>
      <c r="W1" s="88"/>
      <c r="X1" s="89"/>
      <c r="Y1" s="89"/>
      <c r="Z1" s="89"/>
      <c r="AA1" s="89"/>
      <c r="AB1" s="89"/>
      <c r="AC1" s="89"/>
      <c r="AD1" s="89"/>
      <c r="AE1" s="89"/>
      <c r="AF1" s="89"/>
      <c r="AG1" s="89"/>
      <c r="AH1" s="89"/>
      <c r="AI1" s="85"/>
      <c r="AJ1" s="85"/>
      <c r="AK1" s="85"/>
      <c r="AL1" s="85"/>
      <c r="AM1" s="85"/>
      <c r="AN1" s="85"/>
      <c r="AO1" s="85"/>
      <c r="AP1" s="85"/>
      <c r="AQ1" s="85"/>
      <c r="AR1" s="85"/>
      <c r="AS1" s="85"/>
      <c r="AT1" s="85"/>
      <c r="AU1" s="85"/>
      <c r="AV1" s="85"/>
      <c r="AW1" s="85"/>
      <c r="AX1" s="85"/>
      <c r="AY1" s="85"/>
      <c r="AZ1" s="85"/>
    </row>
    <row r="2" spans="1:52" s="86" customFormat="1" ht="28.5" customHeight="1" x14ac:dyDescent="0.25">
      <c r="A2" s="2"/>
      <c r="B2" s="2"/>
      <c r="C2" s="2"/>
      <c r="D2" s="2"/>
      <c r="E2" s="2"/>
      <c r="F2" s="2"/>
      <c r="G2" s="2"/>
      <c r="H2" s="2"/>
      <c r="I2" s="2"/>
      <c r="J2" s="2"/>
      <c r="K2" s="2"/>
      <c r="L2" s="148"/>
      <c r="M2" s="89" t="s">
        <v>290</v>
      </c>
      <c r="N2" s="89" t="str">
        <f>'Flow Rate Charts'!M37</f>
        <v xml:space="preserve"> </v>
      </c>
      <c r="O2" s="137" t="s">
        <v>307</v>
      </c>
      <c r="P2" s="89" t="str">
        <f>IF('2-Sizing'!G18=0, "  ", IF(N1=4, " ",CONCATENATE(N2,O2,)))</f>
        <v xml:space="preserve">  </v>
      </c>
      <c r="Q2" s="89" t="s">
        <v>295</v>
      </c>
      <c r="R2" s="314" t="str">
        <f>CONCATENATE(P2, P5)</f>
        <v xml:space="preserve">   -- </v>
      </c>
      <c r="S2" s="318" t="str">
        <f>IF('Flow Rate Charts'!M26=4,CONCATENATE(P2, P5)," ")</f>
        <v xml:space="preserve">   -- </v>
      </c>
      <c r="T2" s="89"/>
      <c r="U2" s="89"/>
      <c r="V2" s="89"/>
      <c r="W2" s="88"/>
      <c r="X2" s="89"/>
      <c r="Y2" s="89"/>
      <c r="Z2" s="89"/>
      <c r="AA2" s="89"/>
      <c r="AB2" s="89"/>
      <c r="AC2" s="89"/>
      <c r="AD2" s="89"/>
      <c r="AE2" s="89"/>
      <c r="AF2" s="89"/>
      <c r="AG2" s="89"/>
      <c r="AH2" s="89"/>
      <c r="AI2" s="85"/>
      <c r="AJ2" s="85"/>
      <c r="AK2" s="85"/>
      <c r="AL2" s="85"/>
      <c r="AM2" s="85"/>
      <c r="AN2" s="85"/>
      <c r="AO2" s="85"/>
      <c r="AP2" s="85"/>
      <c r="AQ2" s="85"/>
      <c r="AR2" s="85"/>
      <c r="AS2" s="85"/>
      <c r="AT2" s="85"/>
      <c r="AU2" s="85"/>
      <c r="AV2" s="85"/>
      <c r="AW2" s="85"/>
      <c r="AX2" s="85"/>
      <c r="AY2" s="85"/>
      <c r="AZ2" s="85"/>
    </row>
    <row r="3" spans="1:52" s="86" customFormat="1" ht="24" customHeight="1" x14ac:dyDescent="0.25">
      <c r="A3" s="2"/>
      <c r="B3" s="2"/>
      <c r="C3" s="2"/>
      <c r="D3" s="2"/>
      <c r="E3" s="2"/>
      <c r="F3" s="2"/>
      <c r="G3" s="2"/>
      <c r="H3" s="2"/>
      <c r="I3" s="2"/>
      <c r="J3" s="2"/>
      <c r="K3" s="2"/>
      <c r="L3" s="148"/>
      <c r="M3" s="89" t="s">
        <v>289</v>
      </c>
      <c r="N3" s="89">
        <f>'2-Sizing'!$R$17</f>
        <v>1</v>
      </c>
      <c r="O3" s="137" t="s">
        <v>265</v>
      </c>
      <c r="P3" s="314" t="str">
        <f>IF('2-Sizing'!G18=0, " -- ", CONCATENATE(N3,O3,))</f>
        <v xml:space="preserve"> -- </v>
      </c>
      <c r="Q3" s="89"/>
      <c r="R3" s="89"/>
      <c r="S3" s="89"/>
      <c r="T3" s="89"/>
      <c r="U3" s="89"/>
      <c r="V3" s="89"/>
      <c r="W3" s="88"/>
      <c r="X3" s="89"/>
      <c r="Y3" s="89"/>
      <c r="Z3" s="89"/>
      <c r="AA3" s="89"/>
      <c r="AB3" s="89"/>
      <c r="AC3" s="89"/>
      <c r="AD3" s="89"/>
      <c r="AE3" s="89"/>
      <c r="AF3" s="89"/>
      <c r="AG3" s="89"/>
      <c r="AH3" s="89"/>
      <c r="AI3" s="85"/>
      <c r="AJ3" s="85"/>
      <c r="AK3" s="85"/>
      <c r="AL3" s="85"/>
      <c r="AM3" s="85"/>
      <c r="AN3" s="85"/>
      <c r="AO3" s="85"/>
      <c r="AP3" s="85"/>
      <c r="AQ3" s="85"/>
      <c r="AR3" s="85"/>
      <c r="AS3" s="85"/>
      <c r="AT3" s="85"/>
      <c r="AU3" s="85"/>
      <c r="AV3" s="85"/>
      <c r="AW3" s="85"/>
      <c r="AX3" s="85"/>
      <c r="AY3" s="85"/>
      <c r="AZ3" s="85"/>
    </row>
    <row r="4" spans="1:52" s="86" customFormat="1" ht="24" customHeight="1" x14ac:dyDescent="0.25">
      <c r="A4" s="2"/>
      <c r="B4" s="2"/>
      <c r="C4" s="2"/>
      <c r="D4" s="2"/>
      <c r="E4" s="2"/>
      <c r="F4" s="2"/>
      <c r="G4" s="2"/>
      <c r="H4" s="2"/>
      <c r="I4" s="2"/>
      <c r="J4" s="2"/>
      <c r="K4" s="2"/>
      <c r="L4" s="148"/>
      <c r="M4" s="89" t="s">
        <v>282</v>
      </c>
      <c r="N4" s="89">
        <v>29.5</v>
      </c>
      <c r="O4" s="137" t="s">
        <v>283</v>
      </c>
      <c r="P4" s="314" t="str">
        <f>IF('2-Sizing'!G18=0, " -- ", CONCATENATE(N4,O4,))</f>
        <v xml:space="preserve"> -- </v>
      </c>
      <c r="Q4" s="318" t="str">
        <f>IF('2-Sizing'!G18=0, " -- ", IF('Flow Rate Charts'!M26=4,CONCATENATE(N4,O4,)," "))</f>
        <v xml:space="preserve"> -- </v>
      </c>
      <c r="R4" s="89"/>
      <c r="S4" s="89"/>
      <c r="T4" s="89"/>
      <c r="U4" s="89"/>
      <c r="V4" s="89"/>
      <c r="W4" s="88"/>
      <c r="X4" s="89"/>
      <c r="Y4" s="89"/>
      <c r="Z4" s="89"/>
      <c r="AA4" s="89"/>
      <c r="AB4" s="89"/>
      <c r="AC4" s="89"/>
      <c r="AD4" s="89"/>
      <c r="AE4" s="89"/>
      <c r="AF4" s="89"/>
      <c r="AG4" s="89"/>
      <c r="AH4" s="89"/>
      <c r="AI4" s="85"/>
      <c r="AJ4" s="85"/>
      <c r="AK4" s="85"/>
      <c r="AL4" s="85"/>
      <c r="AM4" s="85"/>
      <c r="AN4" s="85"/>
      <c r="AO4" s="85"/>
      <c r="AP4" s="85"/>
      <c r="AQ4" s="85"/>
      <c r="AR4" s="85"/>
      <c r="AS4" s="85"/>
      <c r="AT4" s="85"/>
      <c r="AU4" s="85"/>
      <c r="AV4" s="85"/>
      <c r="AW4" s="85"/>
      <c r="AX4" s="85"/>
      <c r="AY4" s="85"/>
      <c r="AZ4" s="85"/>
    </row>
    <row r="5" spans="1:52" s="86" customFormat="1" ht="24" customHeight="1" x14ac:dyDescent="0.25">
      <c r="A5" s="2"/>
      <c r="B5" s="2"/>
      <c r="C5" s="2"/>
      <c r="D5" s="2"/>
      <c r="E5" s="2"/>
      <c r="F5" s="2"/>
      <c r="G5" s="2"/>
      <c r="H5" s="2"/>
      <c r="I5" s="2"/>
      <c r="J5" s="2"/>
      <c r="K5" s="2"/>
      <c r="L5" s="148"/>
      <c r="M5" s="136" t="s">
        <v>288</v>
      </c>
      <c r="N5" s="136">
        <f>'Flow Rate Charts'!M36</f>
        <v>48</v>
      </c>
      <c r="O5" s="137" t="str">
        <f>IF(N5=48, "-in Round", "-in")</f>
        <v>-in Round</v>
      </c>
      <c r="P5" s="89" t="str">
        <f>IF('2-Sizing'!G18=0, " -- ", CONCATENATE(N5,O5,))</f>
        <v xml:space="preserve"> -- </v>
      </c>
      <c r="Q5" s="89"/>
      <c r="R5" s="89"/>
      <c r="S5" s="89"/>
      <c r="T5" s="89"/>
      <c r="U5" s="89"/>
      <c r="V5" s="89"/>
      <c r="W5" s="88"/>
      <c r="X5" s="89"/>
      <c r="Y5" s="89"/>
      <c r="Z5" s="89"/>
      <c r="AA5" s="89"/>
      <c r="AB5" s="89"/>
      <c r="AC5" s="89"/>
      <c r="AD5" s="89"/>
      <c r="AE5" s="89"/>
      <c r="AF5" s="89"/>
      <c r="AG5" s="89"/>
      <c r="AH5" s="89"/>
      <c r="AI5" s="85"/>
      <c r="AJ5" s="85"/>
      <c r="AK5" s="85"/>
      <c r="AL5" s="85"/>
      <c r="AM5" s="85"/>
      <c r="AN5" s="85"/>
      <c r="AO5" s="85"/>
      <c r="AP5" s="85"/>
      <c r="AQ5" s="85"/>
      <c r="AR5" s="85"/>
      <c r="AS5" s="85"/>
      <c r="AT5" s="85"/>
      <c r="AU5" s="85"/>
      <c r="AV5" s="85"/>
      <c r="AW5" s="85"/>
      <c r="AX5" s="85"/>
      <c r="AY5" s="85"/>
      <c r="AZ5" s="85"/>
    </row>
    <row r="6" spans="1:52" s="86" customFormat="1" ht="24" customHeight="1" x14ac:dyDescent="0.25">
      <c r="A6" s="2"/>
      <c r="B6" s="2"/>
      <c r="C6" s="2"/>
      <c r="D6" s="2"/>
      <c r="E6" s="2"/>
      <c r="F6" s="2"/>
      <c r="G6" s="2"/>
      <c r="H6" s="2"/>
      <c r="I6" s="2"/>
      <c r="J6" s="2"/>
      <c r="K6" s="2"/>
      <c r="L6" s="148"/>
      <c r="M6" s="136" t="s">
        <v>293</v>
      </c>
      <c r="N6" s="136">
        <f>VLOOKUP($N$1,Performance!M13:Y21,11)</f>
        <v>15</v>
      </c>
      <c r="O6" s="137" t="s">
        <v>283</v>
      </c>
      <c r="P6" s="314" t="str">
        <f>IF('2-Sizing'!G18=0, " -- ",CONCATENATE(N6,O6))</f>
        <v xml:space="preserve"> -- </v>
      </c>
      <c r="Q6" s="89"/>
      <c r="R6" s="89"/>
      <c r="S6" s="89"/>
      <c r="T6" s="89"/>
      <c r="U6" s="89"/>
      <c r="V6" s="89"/>
      <c r="W6" s="88"/>
      <c r="X6" s="89"/>
      <c r="Y6" s="89"/>
      <c r="Z6" s="89"/>
      <c r="AA6" s="89"/>
      <c r="AB6" s="89"/>
      <c r="AC6" s="89"/>
      <c r="AD6" s="89"/>
      <c r="AE6" s="89"/>
      <c r="AF6" s="89"/>
      <c r="AG6" s="89"/>
      <c r="AH6" s="89"/>
      <c r="AI6" s="85"/>
      <c r="AJ6" s="85"/>
      <c r="AK6" s="85"/>
      <c r="AL6" s="85"/>
      <c r="AM6" s="85"/>
      <c r="AN6" s="85"/>
      <c r="AO6" s="85"/>
      <c r="AP6" s="85"/>
      <c r="AQ6" s="85"/>
      <c r="AR6" s="85"/>
      <c r="AS6" s="85"/>
      <c r="AT6" s="85"/>
      <c r="AU6" s="85"/>
      <c r="AV6" s="85"/>
      <c r="AW6" s="85"/>
      <c r="AX6" s="85"/>
      <c r="AY6" s="85"/>
      <c r="AZ6" s="85"/>
    </row>
    <row r="7" spans="1:52" s="86" customFormat="1" ht="24" customHeight="1" x14ac:dyDescent="0.25">
      <c r="A7" s="2"/>
      <c r="B7" s="2"/>
      <c r="C7" s="2"/>
      <c r="D7" s="2"/>
      <c r="E7" s="2"/>
      <c r="F7" s="2"/>
      <c r="G7" s="2"/>
      <c r="H7" s="2"/>
      <c r="I7" s="2"/>
      <c r="J7" s="2"/>
      <c r="K7" s="2"/>
      <c r="L7" s="148"/>
      <c r="M7" s="136" t="s">
        <v>321</v>
      </c>
      <c r="N7" s="361">
        <f>IF('2-Sizing'!C19="St. Louis MSD (20 gpm/Filter Module)",20,IF('2-Sizing'!C19="Metro Nashville Sizing (25 gpm/Filter Module)",25,IF('2-Sizing'!C19="Washington DOE CULD (25 gpm/Filter Module)",25,0.056)))</f>
        <v>5.6000000000000001E-2</v>
      </c>
      <c r="O7" s="362" t="str">
        <f>IF(N7=0.056,"-cfs","-gpm")</f>
        <v>-cfs</v>
      </c>
      <c r="P7" s="318" t="str">
        <f>IF('2-Sizing'!G18=0, " -- ",IF('Flow Rate Charts'!M26=4,CONCATENATE(N7,O7), " "))</f>
        <v xml:space="preserve"> -- </v>
      </c>
      <c r="Q7" s="89"/>
      <c r="R7" s="89"/>
      <c r="S7" s="89"/>
      <c r="T7" s="89"/>
      <c r="U7" s="89"/>
      <c r="V7" s="89"/>
      <c r="W7" s="88"/>
      <c r="X7" s="89"/>
      <c r="Y7" s="89"/>
      <c r="Z7" s="89"/>
      <c r="AA7" s="89"/>
      <c r="AB7" s="89"/>
      <c r="AC7" s="89"/>
      <c r="AD7" s="89"/>
      <c r="AE7" s="89"/>
      <c r="AF7" s="89"/>
      <c r="AG7" s="89"/>
      <c r="AH7" s="89"/>
      <c r="AI7" s="85"/>
      <c r="AJ7" s="85"/>
      <c r="AK7" s="85"/>
      <c r="AL7" s="85"/>
      <c r="AM7" s="85"/>
      <c r="AN7" s="85"/>
      <c r="AO7" s="85"/>
      <c r="AP7" s="85"/>
      <c r="AQ7" s="85"/>
      <c r="AR7" s="85"/>
      <c r="AS7" s="85"/>
      <c r="AT7" s="85"/>
      <c r="AU7" s="85"/>
      <c r="AV7" s="85"/>
      <c r="AW7" s="85"/>
      <c r="AX7" s="85"/>
      <c r="AY7" s="85"/>
      <c r="AZ7" s="85"/>
    </row>
    <row r="8" spans="1:52" s="86" customFormat="1" ht="24" customHeight="1" x14ac:dyDescent="0.25">
      <c r="A8" s="2"/>
      <c r="B8" s="2"/>
      <c r="C8" s="2"/>
      <c r="D8" s="2"/>
      <c r="E8" s="2"/>
      <c r="F8" s="2"/>
      <c r="G8" s="2"/>
      <c r="H8" s="2"/>
      <c r="I8" s="2"/>
      <c r="J8" s="2"/>
      <c r="K8" s="2"/>
      <c r="L8" s="148"/>
      <c r="M8" s="136" t="s">
        <v>322</v>
      </c>
      <c r="N8" s="293">
        <f>6*N7</f>
        <v>0.33600000000000002</v>
      </c>
      <c r="O8" s="362" t="str">
        <f>O7</f>
        <v>-cfs</v>
      </c>
      <c r="P8" s="318" t="str">
        <f>IF('2-Sizing'!G18=0, " -- ",IF('Flow Rate Charts'!M26=4,CONCATENATE(N8,O8)," "))</f>
        <v xml:space="preserve"> -- </v>
      </c>
      <c r="Q8" s="89"/>
      <c r="R8" s="89"/>
      <c r="S8" s="89"/>
      <c r="T8" s="89"/>
      <c r="U8" s="89"/>
      <c r="V8" s="89"/>
      <c r="W8" s="88"/>
      <c r="X8" s="89"/>
      <c r="Y8" s="89"/>
      <c r="Z8" s="89"/>
      <c r="AA8" s="89"/>
      <c r="AB8" s="89"/>
      <c r="AC8" s="89"/>
      <c r="AD8" s="89"/>
      <c r="AE8" s="89"/>
      <c r="AF8" s="89"/>
      <c r="AG8" s="89"/>
      <c r="AH8" s="89"/>
      <c r="AI8" s="85"/>
      <c r="AJ8" s="85"/>
      <c r="AK8" s="85"/>
      <c r="AL8" s="85"/>
      <c r="AM8" s="85"/>
      <c r="AN8" s="85"/>
      <c r="AO8" s="85"/>
      <c r="AP8" s="85"/>
      <c r="AQ8" s="85"/>
      <c r="AR8" s="85"/>
      <c r="AS8" s="85"/>
      <c r="AT8" s="85"/>
      <c r="AU8" s="85"/>
      <c r="AV8" s="85"/>
      <c r="AW8" s="85"/>
      <c r="AX8" s="85"/>
      <c r="AY8" s="85"/>
      <c r="AZ8" s="85"/>
    </row>
    <row r="9" spans="1:52" s="86" customFormat="1" ht="24" customHeight="1" x14ac:dyDescent="0.25">
      <c r="A9" s="2"/>
      <c r="B9" s="2"/>
      <c r="C9" s="2"/>
      <c r="D9" s="2"/>
      <c r="E9" s="2"/>
      <c r="F9" s="2"/>
      <c r="G9" s="2"/>
      <c r="H9" s="2"/>
      <c r="I9" s="2"/>
      <c r="J9" s="2"/>
      <c r="K9" s="2"/>
      <c r="L9" s="148"/>
      <c r="M9" s="136" t="s">
        <v>294</v>
      </c>
      <c r="N9" s="293">
        <f>IF('Flow Rate Charts'!M35=4,15,36)</f>
        <v>15</v>
      </c>
      <c r="O9" s="137" t="s">
        <v>283</v>
      </c>
      <c r="P9" s="314" t="str">
        <f>IF('2-Sizing'!G18=0, " -- ",CONCATENATE(N9,O9))</f>
        <v xml:space="preserve"> -- </v>
      </c>
      <c r="Q9" s="318" t="str">
        <f>IF('2-Sizing'!G18=0, " -- ",IF('Flow Rate Charts'!M26=4,CONCATENATE(N9,O9)," "))</f>
        <v xml:space="preserve"> -- </v>
      </c>
      <c r="R9" s="89"/>
      <c r="S9" s="89"/>
      <c r="T9" s="89"/>
      <c r="U9" s="89"/>
      <c r="V9" s="89"/>
      <c r="W9" s="88"/>
      <c r="X9" s="89"/>
      <c r="Y9" s="89"/>
      <c r="Z9" s="89"/>
      <c r="AA9" s="89"/>
      <c r="AB9" s="89"/>
      <c r="AC9" s="89"/>
      <c r="AD9" s="89"/>
      <c r="AE9" s="89"/>
      <c r="AF9" s="89"/>
      <c r="AG9" s="89"/>
      <c r="AH9" s="89"/>
      <c r="AI9" s="85"/>
      <c r="AJ9" s="85"/>
      <c r="AK9" s="85"/>
      <c r="AL9" s="85"/>
      <c r="AM9" s="85"/>
      <c r="AN9" s="85"/>
      <c r="AO9" s="85"/>
      <c r="AP9" s="85"/>
      <c r="AQ9" s="85"/>
      <c r="AR9" s="85"/>
      <c r="AS9" s="85"/>
      <c r="AT9" s="85"/>
      <c r="AU9" s="85"/>
      <c r="AV9" s="85"/>
      <c r="AW9" s="85"/>
      <c r="AX9" s="85"/>
      <c r="AY9" s="85"/>
      <c r="AZ9" s="85"/>
    </row>
    <row r="10" spans="1:52" s="86" customFormat="1" ht="24" customHeight="1" x14ac:dyDescent="0.25">
      <c r="A10" s="2"/>
      <c r="B10" s="2"/>
      <c r="C10" s="2"/>
      <c r="D10" s="2"/>
      <c r="E10" s="2"/>
      <c r="F10" s="2"/>
      <c r="G10" s="2"/>
      <c r="H10" s="2"/>
      <c r="I10" s="2"/>
      <c r="J10" s="2"/>
      <c r="K10" s="2"/>
      <c r="L10" s="148"/>
      <c r="M10" s="136" t="s">
        <v>49</v>
      </c>
      <c r="N10" s="311">
        <f>ROUND(VLOOKUP(N1,Performance!M13:U21,9),1)</f>
        <v>16.600000000000001</v>
      </c>
      <c r="O10" s="137" t="s">
        <v>301</v>
      </c>
      <c r="P10" s="314" t="str">
        <f>IF('2-Sizing'!G18=0, " -- ",CONCATENATE(N10,O10))</f>
        <v xml:space="preserve"> -- </v>
      </c>
      <c r="Q10" s="318" t="str">
        <f>IF('2-Sizing'!G18=0, " -- ",IF('Flow Rate Charts'!M26=4,CONCATENATE(N10,O10)," "))</f>
        <v xml:space="preserve"> -- </v>
      </c>
      <c r="R10" s="89"/>
      <c r="S10" s="89"/>
      <c r="T10" s="89"/>
      <c r="U10" s="89"/>
      <c r="V10" s="89"/>
      <c r="W10" s="88"/>
      <c r="X10" s="89"/>
      <c r="Y10" s="89"/>
      <c r="Z10" s="89"/>
      <c r="AA10" s="89"/>
      <c r="AB10" s="89"/>
      <c r="AC10" s="89"/>
      <c r="AD10" s="89"/>
      <c r="AE10" s="89"/>
      <c r="AF10" s="89"/>
      <c r="AG10" s="89"/>
      <c r="AH10" s="89"/>
      <c r="AI10" s="85"/>
      <c r="AJ10" s="85"/>
      <c r="AK10" s="85"/>
      <c r="AL10" s="85"/>
      <c r="AM10" s="85"/>
      <c r="AN10" s="85"/>
      <c r="AO10" s="85"/>
      <c r="AP10" s="85"/>
      <c r="AQ10" s="85"/>
      <c r="AR10" s="85"/>
      <c r="AS10" s="85"/>
      <c r="AT10" s="85"/>
      <c r="AU10" s="85"/>
      <c r="AV10" s="85"/>
      <c r="AW10" s="85"/>
      <c r="AX10" s="85"/>
      <c r="AY10" s="85"/>
      <c r="AZ10" s="85"/>
    </row>
    <row r="11" spans="1:52" s="86" customFormat="1" ht="24" customHeight="1" x14ac:dyDescent="0.25">
      <c r="A11" s="2"/>
      <c r="B11" s="2"/>
      <c r="C11" s="2"/>
      <c r="D11" s="2"/>
      <c r="E11" s="2"/>
      <c r="F11" s="2"/>
      <c r="G11" s="2"/>
      <c r="H11" s="2"/>
      <c r="I11" s="2"/>
      <c r="J11" s="2"/>
      <c r="K11" s="2"/>
      <c r="L11" s="148"/>
      <c r="M11" s="136" t="s">
        <v>299</v>
      </c>
      <c r="N11" s="139">
        <f>ROUND(VLOOKUP(N1,Performance!M13:U21,8),1)</f>
        <v>50</v>
      </c>
      <c r="O11" s="137" t="s">
        <v>300</v>
      </c>
      <c r="P11" s="314" t="str">
        <f>IF('2-Sizing'!G18=0, " -- ",CONCATENATE(N11,O11))</f>
        <v xml:space="preserve"> -- </v>
      </c>
      <c r="Q11" s="318" t="str">
        <f>IF('2-Sizing'!G18=0, " -- ",IF('Flow Rate Charts'!M26=4,CONCATENATE(N11,O11)," "))</f>
        <v xml:space="preserve"> -- </v>
      </c>
      <c r="R11" s="89"/>
      <c r="S11" s="89"/>
      <c r="T11" s="89"/>
      <c r="U11" s="89"/>
      <c r="V11" s="89"/>
      <c r="W11" s="88"/>
      <c r="X11" s="89"/>
      <c r="Y11" s="89"/>
      <c r="Z11" s="89"/>
      <c r="AA11" s="89"/>
      <c r="AB11" s="89"/>
      <c r="AC11" s="89"/>
      <c r="AD11" s="89"/>
      <c r="AE11" s="89"/>
      <c r="AF11" s="89"/>
      <c r="AG11" s="89"/>
      <c r="AH11" s="89"/>
      <c r="AI11" s="85"/>
      <c r="AJ11" s="85"/>
      <c r="AK11" s="85"/>
      <c r="AL11" s="85"/>
      <c r="AM11" s="85"/>
      <c r="AN11" s="85"/>
      <c r="AO11" s="85"/>
      <c r="AP11" s="85"/>
      <c r="AQ11" s="85"/>
      <c r="AR11" s="85"/>
      <c r="AS11" s="85"/>
      <c r="AT11" s="85"/>
      <c r="AU11" s="85"/>
      <c r="AV11" s="85"/>
      <c r="AW11" s="85"/>
      <c r="AX11" s="85"/>
      <c r="AY11" s="85"/>
      <c r="AZ11" s="85"/>
    </row>
    <row r="12" spans="1:52" s="86" customFormat="1" ht="24" customHeight="1" x14ac:dyDescent="0.25">
      <c r="A12" s="2"/>
      <c r="B12" s="2"/>
      <c r="C12" s="2"/>
      <c r="D12" s="2"/>
      <c r="E12" s="2"/>
      <c r="F12" s="2"/>
      <c r="G12" s="2"/>
      <c r="H12" s="2"/>
      <c r="I12" s="2"/>
      <c r="J12" s="2"/>
      <c r="K12" s="2"/>
      <c r="L12" s="148"/>
      <c r="M12" s="136" t="s">
        <v>52</v>
      </c>
      <c r="N12" s="136">
        <v>5</v>
      </c>
      <c r="O12" s="137" t="s">
        <v>54</v>
      </c>
      <c r="P12" s="89" t="str">
        <f>IF('2-Sizing'!G18=0, " -- ",CONCATENATE("Min. ",N12,O12))</f>
        <v xml:space="preserve"> -- </v>
      </c>
      <c r="Q12" s="314" t="str">
        <f>IF('2-Sizing'!G18=0, " -- ",CONCATENATE(N12,O12))</f>
        <v xml:space="preserve"> -- </v>
      </c>
      <c r="R12" s="318" t="str">
        <f>IF('2-Sizing'!G18=0, " -- ",IF('Flow Rate Charts'!M26=4,CONCATENATE(N12,O12)," "))</f>
        <v xml:space="preserve"> -- </v>
      </c>
      <c r="S12" s="89"/>
      <c r="T12" s="89"/>
      <c r="U12" s="89"/>
      <c r="V12" s="89"/>
      <c r="W12" s="88"/>
      <c r="X12" s="89"/>
      <c r="Y12" s="89"/>
      <c r="Z12" s="89"/>
      <c r="AA12" s="89"/>
      <c r="AB12" s="89"/>
      <c r="AC12" s="89"/>
      <c r="AD12" s="89"/>
      <c r="AE12" s="89"/>
      <c r="AF12" s="89"/>
      <c r="AG12" s="89"/>
      <c r="AH12" s="89"/>
      <c r="AI12" s="85"/>
      <c r="AJ12" s="85"/>
      <c r="AK12" s="85"/>
      <c r="AL12" s="85"/>
      <c r="AM12" s="85"/>
      <c r="AN12" s="85"/>
      <c r="AO12" s="85"/>
      <c r="AP12" s="85"/>
      <c r="AQ12" s="85"/>
      <c r="AR12" s="85"/>
      <c r="AS12" s="85"/>
      <c r="AT12" s="85"/>
      <c r="AU12" s="85"/>
      <c r="AV12" s="85"/>
      <c r="AW12" s="85"/>
      <c r="AX12" s="85"/>
      <c r="AY12" s="85"/>
      <c r="AZ12" s="85"/>
    </row>
    <row r="13" spans="1:52" s="86" customFormat="1" ht="24" customHeight="1" x14ac:dyDescent="0.25">
      <c r="A13" s="2"/>
      <c r="B13" s="2"/>
      <c r="C13" s="2"/>
      <c r="D13" s="2"/>
      <c r="E13" s="2"/>
      <c r="F13" s="2"/>
      <c r="G13" s="2"/>
      <c r="H13" s="2"/>
      <c r="I13" s="2"/>
      <c r="J13" s="2"/>
      <c r="K13" s="2"/>
      <c r="L13" s="148"/>
      <c r="M13" s="136" t="s">
        <v>53</v>
      </c>
      <c r="N13" s="136">
        <f>ROUND(VLOOKUP(N1,Performance!M13:U21,2),1)</f>
        <v>3</v>
      </c>
      <c r="O13" s="137" t="s">
        <v>54</v>
      </c>
      <c r="P13" s="89" t="str">
        <f>IF('2-Sizing'!G18=0, " -- ",CONCATENATE("Std. ",N13,O13))</f>
        <v xml:space="preserve"> -- </v>
      </c>
      <c r="Q13" s="314" t="str">
        <f>IF('2-Sizing'!G18=0, " -- ",CONCATENATE(N13,O13))</f>
        <v xml:space="preserve"> -- </v>
      </c>
      <c r="R13" s="318" t="str">
        <f>IF('2-Sizing'!G18=0, " -- ",IF('Flow Rate Charts'!M26=4,CONCATENATE(N13,O13)," "))</f>
        <v xml:space="preserve"> -- </v>
      </c>
      <c r="S13" s="89"/>
      <c r="T13" s="89"/>
      <c r="U13" s="89"/>
      <c r="V13" s="89"/>
      <c r="W13" s="88"/>
      <c r="X13" s="89"/>
      <c r="Y13" s="89"/>
      <c r="Z13" s="89"/>
      <c r="AA13" s="89"/>
      <c r="AB13" s="89"/>
      <c r="AC13" s="89"/>
      <c r="AD13" s="89"/>
      <c r="AE13" s="89"/>
      <c r="AF13" s="89"/>
      <c r="AG13" s="89"/>
      <c r="AH13" s="89"/>
      <c r="AI13" s="85"/>
      <c r="AJ13" s="85"/>
      <c r="AK13" s="85"/>
      <c r="AL13" s="85"/>
      <c r="AM13" s="85"/>
      <c r="AN13" s="85"/>
      <c r="AO13" s="85"/>
      <c r="AP13" s="85"/>
      <c r="AQ13" s="85"/>
      <c r="AR13" s="85"/>
      <c r="AS13" s="85"/>
      <c r="AT13" s="85"/>
      <c r="AU13" s="85"/>
      <c r="AV13" s="85"/>
      <c r="AW13" s="85"/>
      <c r="AX13" s="85"/>
      <c r="AY13" s="85"/>
      <c r="AZ13" s="85"/>
    </row>
    <row r="14" spans="1:52" s="86" customFormat="1" ht="24" customHeight="1" x14ac:dyDescent="0.25">
      <c r="A14" s="2"/>
      <c r="B14" s="2"/>
      <c r="C14" s="2"/>
      <c r="D14" s="2"/>
      <c r="E14" s="2"/>
      <c r="F14" s="2"/>
      <c r="G14" s="2"/>
      <c r="H14" s="2"/>
      <c r="I14" s="2"/>
      <c r="J14" s="2"/>
      <c r="K14" s="2"/>
      <c r="L14" s="148"/>
      <c r="M14" s="136" t="s">
        <v>47</v>
      </c>
      <c r="N14" s="89">
        <f>'2-Sizing'!K20</f>
        <v>15</v>
      </c>
      <c r="O14" s="137" t="s">
        <v>283</v>
      </c>
      <c r="P14" s="318" t="str">
        <f>IF('2-Sizing'!G18=0, " -- ",IF('Flow Rate Charts'!M26=4,CONCATENATE(N14,O14)," "))</f>
        <v xml:space="preserve"> -- </v>
      </c>
      <c r="Q14" s="89"/>
      <c r="R14" s="89"/>
      <c r="S14" s="89"/>
      <c r="T14" s="89"/>
      <c r="U14" s="89"/>
      <c r="V14" s="89"/>
      <c r="W14" s="88"/>
      <c r="X14" s="89"/>
      <c r="Y14" s="89"/>
      <c r="Z14" s="89"/>
      <c r="AA14" s="89"/>
      <c r="AB14" s="89"/>
      <c r="AC14" s="89"/>
      <c r="AD14" s="89"/>
      <c r="AE14" s="89"/>
      <c r="AF14" s="89"/>
      <c r="AG14" s="89"/>
      <c r="AH14" s="89"/>
      <c r="AI14" s="85"/>
      <c r="AJ14" s="85"/>
      <c r="AK14" s="85"/>
      <c r="AL14" s="85"/>
      <c r="AM14" s="85"/>
      <c r="AN14" s="85"/>
      <c r="AO14" s="85"/>
      <c r="AP14" s="85"/>
      <c r="AQ14" s="85"/>
      <c r="AR14" s="85"/>
      <c r="AS14" s="85"/>
      <c r="AT14" s="85"/>
      <c r="AU14" s="85"/>
      <c r="AV14" s="85"/>
      <c r="AW14" s="85"/>
      <c r="AX14" s="85"/>
      <c r="AY14" s="85"/>
      <c r="AZ14" s="85"/>
    </row>
    <row r="15" spans="1:52" s="86" customFormat="1" ht="24" customHeight="1" x14ac:dyDescent="0.25">
      <c r="A15" s="2"/>
      <c r="B15" s="2"/>
      <c r="C15" s="2"/>
      <c r="D15" s="2"/>
      <c r="E15" s="2"/>
      <c r="F15" s="2"/>
      <c r="G15" s="2"/>
      <c r="H15" s="2"/>
      <c r="I15" s="2"/>
      <c r="J15" s="2"/>
      <c r="K15" s="2"/>
      <c r="L15" s="148"/>
      <c r="M15" s="136" t="s">
        <v>28</v>
      </c>
      <c r="N15" s="89" t="s">
        <v>55</v>
      </c>
      <c r="O15" s="89"/>
      <c r="P15" s="89"/>
      <c r="Q15" s="89"/>
      <c r="R15" s="89"/>
      <c r="S15" s="89"/>
      <c r="T15" s="89"/>
      <c r="U15" s="89"/>
      <c r="V15" s="89"/>
      <c r="W15" s="88"/>
      <c r="X15" s="89"/>
      <c r="Y15" s="89"/>
      <c r="Z15" s="89"/>
      <c r="AA15" s="89"/>
      <c r="AB15" s="89"/>
      <c r="AC15" s="89"/>
      <c r="AD15" s="89"/>
      <c r="AE15" s="89"/>
      <c r="AF15" s="89"/>
      <c r="AG15" s="89"/>
      <c r="AH15" s="89"/>
      <c r="AI15" s="85"/>
      <c r="AJ15" s="85"/>
      <c r="AK15" s="85"/>
      <c r="AL15" s="85"/>
      <c r="AM15" s="85"/>
      <c r="AN15" s="85"/>
      <c r="AO15" s="85"/>
      <c r="AP15" s="85"/>
      <c r="AQ15" s="85"/>
      <c r="AR15" s="85"/>
      <c r="AS15" s="85"/>
      <c r="AT15" s="85"/>
      <c r="AU15" s="85"/>
      <c r="AV15" s="85"/>
      <c r="AW15" s="85"/>
      <c r="AX15" s="85"/>
      <c r="AY15" s="85"/>
      <c r="AZ15" s="85"/>
    </row>
    <row r="16" spans="1:52" s="86" customFormat="1" ht="24" customHeight="1" x14ac:dyDescent="0.25">
      <c r="A16" s="2"/>
      <c r="B16" s="2"/>
      <c r="C16" s="2"/>
      <c r="D16" s="2"/>
      <c r="E16" s="2"/>
      <c r="F16" s="2"/>
      <c r="G16" s="2"/>
      <c r="H16" s="2"/>
      <c r="I16" s="2"/>
      <c r="J16" s="2"/>
      <c r="K16" s="2"/>
      <c r="L16" s="148"/>
      <c r="M16" s="89"/>
      <c r="N16" s="89" t="s">
        <v>344</v>
      </c>
      <c r="O16" s="89"/>
      <c r="P16" s="89"/>
      <c r="Q16" s="89"/>
      <c r="R16" s="89"/>
      <c r="S16" s="89"/>
      <c r="T16" s="89"/>
      <c r="U16" s="89"/>
      <c r="V16" s="89"/>
      <c r="W16" s="88"/>
      <c r="X16" s="89"/>
      <c r="Y16" s="89"/>
      <c r="Z16" s="89"/>
      <c r="AA16" s="89"/>
      <c r="AB16" s="89"/>
      <c r="AC16" s="89"/>
      <c r="AD16" s="89"/>
      <c r="AE16" s="89"/>
      <c r="AF16" s="89"/>
      <c r="AG16" s="89"/>
      <c r="AH16" s="89"/>
      <c r="AI16" s="85"/>
      <c r="AJ16" s="85"/>
      <c r="AK16" s="85"/>
      <c r="AL16" s="85"/>
      <c r="AM16" s="85"/>
      <c r="AN16" s="85"/>
      <c r="AO16" s="85"/>
      <c r="AP16" s="85"/>
      <c r="AQ16" s="85"/>
      <c r="AR16" s="85"/>
      <c r="AS16" s="85"/>
      <c r="AT16" s="85"/>
      <c r="AU16" s="85"/>
      <c r="AV16" s="85"/>
      <c r="AW16" s="85"/>
      <c r="AX16" s="85"/>
      <c r="AY16" s="85"/>
      <c r="AZ16" s="85"/>
    </row>
    <row r="17" spans="1:52" s="86" customFormat="1" ht="24" customHeight="1" x14ac:dyDescent="0.25">
      <c r="A17" s="2"/>
      <c r="B17" s="2"/>
      <c r="C17" s="2"/>
      <c r="D17" s="2"/>
      <c r="E17" s="2"/>
      <c r="F17" s="2"/>
      <c r="G17" s="2"/>
      <c r="H17" s="2"/>
      <c r="I17" s="2"/>
      <c r="J17" s="2"/>
      <c r="K17" s="2"/>
      <c r="L17" s="148"/>
      <c r="M17" s="89"/>
      <c r="N17" s="89" t="s">
        <v>56</v>
      </c>
      <c r="O17" s="89"/>
      <c r="P17" s="89"/>
      <c r="Q17" s="89"/>
      <c r="R17" s="89"/>
      <c r="S17" s="89"/>
      <c r="T17" s="89"/>
      <c r="U17" s="89"/>
      <c r="V17" s="89"/>
      <c r="W17" s="88"/>
      <c r="X17" s="89"/>
      <c r="Y17" s="89"/>
      <c r="Z17" s="89"/>
      <c r="AA17" s="89"/>
      <c r="AB17" s="89"/>
      <c r="AC17" s="89"/>
      <c r="AD17" s="89"/>
      <c r="AE17" s="89"/>
      <c r="AF17" s="89"/>
      <c r="AG17" s="89"/>
      <c r="AH17" s="89"/>
      <c r="AI17" s="85"/>
      <c r="AJ17" s="85"/>
      <c r="AK17" s="85"/>
      <c r="AL17" s="85"/>
      <c r="AM17" s="85"/>
      <c r="AN17" s="85"/>
      <c r="AO17" s="85"/>
      <c r="AP17" s="85"/>
      <c r="AQ17" s="85"/>
      <c r="AR17" s="85"/>
      <c r="AS17" s="85"/>
      <c r="AT17" s="85"/>
      <c r="AU17" s="85"/>
      <c r="AV17" s="85"/>
      <c r="AW17" s="85"/>
      <c r="AX17" s="85"/>
      <c r="AY17" s="85"/>
      <c r="AZ17" s="85"/>
    </row>
    <row r="18" spans="1:52" s="86" customFormat="1" ht="24" customHeight="1" x14ac:dyDescent="0.25">
      <c r="A18" s="2"/>
      <c r="B18" s="2"/>
      <c r="C18" s="2"/>
      <c r="D18" s="2"/>
      <c r="E18" s="2"/>
      <c r="F18" s="2"/>
      <c r="G18" s="2"/>
      <c r="H18" s="2"/>
      <c r="I18" s="2"/>
      <c r="J18" s="2"/>
      <c r="K18" s="2"/>
      <c r="L18" s="148"/>
      <c r="M18" s="89" t="s">
        <v>313</v>
      </c>
      <c r="N18" s="89">
        <v>1</v>
      </c>
      <c r="O18" s="89">
        <v>6</v>
      </c>
      <c r="P18" s="318" t="str">
        <f>IF('2-Sizing'!G18=0, " -- ",IF('Flow Rate Charts'!M26=4,CONCATENATE(N18, " to ",O18)," "))</f>
        <v xml:space="preserve"> -- </v>
      </c>
      <c r="Q18" s="89"/>
      <c r="R18" s="89"/>
      <c r="S18" s="89"/>
      <c r="T18" s="89"/>
      <c r="U18" s="89"/>
      <c r="V18" s="89"/>
      <c r="W18" s="88"/>
      <c r="X18" s="89"/>
      <c r="Y18" s="89"/>
      <c r="Z18" s="89"/>
      <c r="AA18" s="89"/>
      <c r="AB18" s="89"/>
      <c r="AC18" s="89"/>
      <c r="AD18" s="89"/>
      <c r="AE18" s="89"/>
      <c r="AF18" s="89"/>
      <c r="AG18" s="89"/>
      <c r="AH18" s="89"/>
      <c r="AI18" s="85"/>
      <c r="AJ18" s="85"/>
      <c r="AK18" s="85"/>
      <c r="AL18" s="85"/>
      <c r="AM18" s="85"/>
      <c r="AN18" s="85"/>
      <c r="AO18" s="85"/>
      <c r="AP18" s="85"/>
      <c r="AQ18" s="85"/>
      <c r="AR18" s="85"/>
      <c r="AS18" s="85"/>
      <c r="AT18" s="85"/>
      <c r="AU18" s="85"/>
      <c r="AV18" s="85"/>
      <c r="AW18" s="85"/>
      <c r="AX18" s="85"/>
      <c r="AY18" s="85"/>
      <c r="AZ18" s="85"/>
    </row>
    <row r="19" spans="1:52" s="86" customFormat="1" ht="24" customHeight="1" x14ac:dyDescent="0.25">
      <c r="A19" s="2"/>
      <c r="B19" s="2"/>
      <c r="C19" s="2"/>
      <c r="D19" s="2"/>
      <c r="E19" s="2"/>
      <c r="F19" s="2"/>
      <c r="G19" s="2"/>
      <c r="H19" s="2"/>
      <c r="I19" s="2"/>
      <c r="J19" s="2"/>
      <c r="K19" s="2"/>
      <c r="L19" s="148"/>
      <c r="M19" s="136" t="s">
        <v>120</v>
      </c>
      <c r="N19" s="138">
        <f>IF('2-Sizing'!$K$22=0,N12,(ROUND('2-Sizing'!$K$22,2)))</f>
        <v>5</v>
      </c>
      <c r="O19" s="363" t="str">
        <f>IF('2-Sizing'!G18=0, " -- ",IF('Flow Rate Charts'!M26=4,CONCATENATE(N19,"-ft")," "))</f>
        <v xml:space="preserve"> -- </v>
      </c>
      <c r="P19" s="89"/>
      <c r="Q19" s="89"/>
      <c r="R19" s="89"/>
      <c r="S19" s="89"/>
      <c r="T19" s="89"/>
      <c r="U19" s="89"/>
      <c r="V19" s="89"/>
      <c r="W19" s="88"/>
      <c r="X19" s="89"/>
      <c r="Y19" s="89"/>
      <c r="Z19" s="89"/>
      <c r="AA19" s="89"/>
      <c r="AB19" s="89"/>
      <c r="AC19" s="89"/>
      <c r="AD19" s="89"/>
      <c r="AE19" s="89"/>
      <c r="AF19" s="89"/>
      <c r="AG19" s="89"/>
      <c r="AH19" s="89"/>
      <c r="AI19" s="85"/>
      <c r="AJ19" s="85"/>
      <c r="AK19" s="85"/>
      <c r="AL19" s="85"/>
      <c r="AM19" s="85"/>
      <c r="AN19" s="85"/>
      <c r="AO19" s="85"/>
      <c r="AP19" s="85"/>
      <c r="AQ19" s="85"/>
      <c r="AR19" s="85"/>
      <c r="AS19" s="85"/>
      <c r="AT19" s="85"/>
      <c r="AU19" s="85"/>
      <c r="AV19" s="85"/>
      <c r="AW19" s="85"/>
      <c r="AX19" s="85"/>
      <c r="AY19" s="85"/>
      <c r="AZ19" s="85"/>
    </row>
    <row r="20" spans="1:52" s="86" customFormat="1" ht="24" customHeight="1" x14ac:dyDescent="0.25">
      <c r="A20" s="2"/>
      <c r="B20" s="2"/>
      <c r="C20" s="2"/>
      <c r="D20" s="2"/>
      <c r="E20" s="2"/>
      <c r="F20" s="2"/>
      <c r="G20" s="2"/>
      <c r="H20" s="2"/>
      <c r="I20" s="2"/>
      <c r="J20" s="2"/>
      <c r="K20" s="2"/>
      <c r="L20" s="148"/>
      <c r="M20" s="136" t="s">
        <v>119</v>
      </c>
      <c r="N20" s="140">
        <f>ROUND('2-Sizing'!$K$18,2)</f>
        <v>0</v>
      </c>
      <c r="O20" s="363" t="str">
        <f>IF('2-Sizing'!G18=0, " -- ",IF('Flow Rate Charts'!M26=4,CONCATENATE(N20,"-ft")," "))</f>
        <v xml:space="preserve"> -- </v>
      </c>
      <c r="P20" s="315" t="str">
        <f>IF('2-Sizing'!G18=0, " -- ",CONCATENATE("EL. = ",N20,"-ft."))</f>
        <v xml:space="preserve"> -- </v>
      </c>
      <c r="Q20" s="89"/>
      <c r="R20" s="89"/>
      <c r="S20" s="89"/>
      <c r="T20" s="89"/>
      <c r="U20" s="89"/>
      <c r="V20" s="89"/>
      <c r="W20" s="88"/>
      <c r="X20" s="89"/>
      <c r="Y20" s="89"/>
      <c r="Z20" s="89"/>
      <c r="AA20" s="89"/>
      <c r="AB20" s="89"/>
      <c r="AC20" s="89"/>
      <c r="AD20" s="89"/>
      <c r="AE20" s="89"/>
      <c r="AF20" s="89"/>
      <c r="AG20" s="89"/>
      <c r="AH20" s="89"/>
      <c r="AI20" s="85"/>
      <c r="AJ20" s="85"/>
      <c r="AK20" s="85"/>
      <c r="AL20" s="85"/>
      <c r="AM20" s="85"/>
      <c r="AN20" s="85"/>
      <c r="AO20" s="85"/>
      <c r="AP20" s="85"/>
      <c r="AQ20" s="85"/>
      <c r="AR20" s="85"/>
      <c r="AS20" s="85"/>
      <c r="AT20" s="85"/>
      <c r="AU20" s="85"/>
      <c r="AV20" s="85"/>
      <c r="AW20" s="85"/>
      <c r="AX20" s="85"/>
      <c r="AY20" s="85"/>
      <c r="AZ20" s="85"/>
    </row>
    <row r="21" spans="1:52" s="86" customFormat="1" ht="24" customHeight="1" x14ac:dyDescent="0.25">
      <c r="A21" s="2"/>
      <c r="B21" s="2"/>
      <c r="C21" s="2"/>
      <c r="D21" s="2"/>
      <c r="E21" s="2"/>
      <c r="F21" s="2"/>
      <c r="G21" s="2"/>
      <c r="H21" s="2"/>
      <c r="I21" s="2"/>
      <c r="J21" s="2"/>
      <c r="K21" s="2"/>
      <c r="L21" s="148"/>
      <c r="M21" s="136" t="s">
        <v>118</v>
      </c>
      <c r="N21" s="140">
        <f>ROUND(N20+0.8,2)</f>
        <v>0.8</v>
      </c>
      <c r="O21" s="363" t="str">
        <f>IF('2-Sizing'!G18=0, " -- ",IF('Flow Rate Charts'!M26=4,CONCATENATE(N21,"-ft")," "))</f>
        <v xml:space="preserve"> -- </v>
      </c>
      <c r="P21" s="89"/>
      <c r="Q21" s="89"/>
      <c r="R21" s="89"/>
      <c r="S21" s="89"/>
      <c r="T21" s="89"/>
      <c r="U21" s="89"/>
      <c r="V21" s="89"/>
      <c r="W21" s="88"/>
      <c r="X21" s="89"/>
      <c r="Y21" s="89"/>
      <c r="Z21" s="89"/>
      <c r="AA21" s="89"/>
      <c r="AB21" s="89"/>
      <c r="AC21" s="89"/>
      <c r="AD21" s="89"/>
      <c r="AE21" s="89"/>
      <c r="AF21" s="89"/>
      <c r="AG21" s="89"/>
      <c r="AH21" s="89"/>
      <c r="AI21" s="85"/>
      <c r="AJ21" s="85"/>
      <c r="AK21" s="85"/>
      <c r="AL21" s="85"/>
      <c r="AM21" s="85"/>
      <c r="AN21" s="85"/>
      <c r="AO21" s="85"/>
      <c r="AP21" s="85"/>
      <c r="AQ21" s="85"/>
      <c r="AR21" s="85"/>
      <c r="AS21" s="85"/>
      <c r="AT21" s="85"/>
      <c r="AU21" s="85"/>
      <c r="AV21" s="85"/>
      <c r="AW21" s="85"/>
      <c r="AX21" s="85"/>
      <c r="AY21" s="85"/>
      <c r="AZ21" s="85"/>
    </row>
    <row r="22" spans="1:52" s="86" customFormat="1" ht="24" customHeight="1" x14ac:dyDescent="0.25">
      <c r="A22" s="2"/>
      <c r="B22" s="2"/>
      <c r="C22" s="2"/>
      <c r="D22" s="2"/>
      <c r="E22" s="2"/>
      <c r="F22" s="2"/>
      <c r="G22" s="2"/>
      <c r="H22" s="2"/>
      <c r="I22" s="2"/>
      <c r="J22" s="2"/>
      <c r="K22" s="2"/>
      <c r="L22" s="148"/>
      <c r="M22" s="136" t="s">
        <v>117</v>
      </c>
      <c r="N22" s="140">
        <f>ROUND(N20-N13,2)</f>
        <v>-3</v>
      </c>
      <c r="O22" s="364" t="str">
        <f>IF('2-Sizing'!G18=0, " -- ",IF('Flow Rate Charts'!M26=4,CONCATENATE(N22,"-ft")," "))</f>
        <v xml:space="preserve"> -- </v>
      </c>
      <c r="P22" s="89"/>
      <c r="Q22" s="89"/>
      <c r="R22" s="89"/>
      <c r="S22" s="89"/>
      <c r="T22" s="89"/>
      <c r="U22" s="89"/>
      <c r="V22" s="89"/>
      <c r="W22" s="88"/>
      <c r="X22" s="89"/>
      <c r="Y22" s="89"/>
      <c r="Z22" s="89"/>
      <c r="AA22" s="89"/>
      <c r="AB22" s="89"/>
      <c r="AC22" s="89"/>
      <c r="AD22" s="89"/>
      <c r="AE22" s="89"/>
      <c r="AF22" s="89"/>
      <c r="AG22" s="89"/>
      <c r="AH22" s="89"/>
      <c r="AI22" s="85"/>
      <c r="AJ22" s="85"/>
      <c r="AK22" s="85"/>
      <c r="AL22" s="85"/>
      <c r="AM22" s="85"/>
      <c r="AN22" s="85"/>
      <c r="AO22" s="85"/>
      <c r="AP22" s="85"/>
      <c r="AQ22" s="85"/>
      <c r="AR22" s="85"/>
      <c r="AS22" s="85"/>
      <c r="AT22" s="85"/>
      <c r="AU22" s="85"/>
      <c r="AV22" s="85"/>
      <c r="AW22" s="85"/>
      <c r="AX22" s="85"/>
      <c r="AY22" s="85"/>
      <c r="AZ22" s="85"/>
    </row>
    <row r="23" spans="1:52" s="86" customFormat="1" ht="24" customHeight="1" x14ac:dyDescent="0.25">
      <c r="A23" s="2"/>
      <c r="B23" s="2"/>
      <c r="C23" s="2"/>
      <c r="D23" s="2"/>
      <c r="E23" s="2"/>
      <c r="F23" s="2"/>
      <c r="G23" s="2"/>
      <c r="H23" s="2"/>
      <c r="I23" s="2"/>
      <c r="J23" s="2"/>
      <c r="K23" s="2"/>
      <c r="L23" s="148"/>
      <c r="M23" s="136" t="s">
        <v>123</v>
      </c>
      <c r="N23" s="140">
        <f>ROUND(N19-N20,2)</f>
        <v>5</v>
      </c>
      <c r="O23" s="364" t="str">
        <f>IF('2-Sizing'!G18=0, " -- ",IF('Flow Rate Charts'!M26=4,CONCATENATE(N23,"-ft")," "))</f>
        <v xml:space="preserve"> -- </v>
      </c>
      <c r="P23" s="89"/>
      <c r="Q23" s="89"/>
      <c r="R23" s="89"/>
      <c r="S23" s="89"/>
      <c r="T23" s="89"/>
      <c r="U23" s="89"/>
      <c r="V23" s="89"/>
      <c r="W23" s="88"/>
      <c r="X23" s="89"/>
      <c r="Y23" s="89"/>
      <c r="Z23" s="89"/>
      <c r="AA23" s="89"/>
      <c r="AB23" s="89"/>
      <c r="AC23" s="89"/>
      <c r="AD23" s="89"/>
      <c r="AE23" s="89"/>
      <c r="AF23" s="89"/>
      <c r="AG23" s="89"/>
      <c r="AH23" s="89"/>
      <c r="AI23" s="85"/>
      <c r="AJ23" s="85"/>
      <c r="AK23" s="85"/>
      <c r="AL23" s="85"/>
      <c r="AM23" s="85"/>
      <c r="AN23" s="85"/>
      <c r="AO23" s="85"/>
      <c r="AP23" s="85"/>
      <c r="AQ23" s="85"/>
      <c r="AR23" s="85"/>
      <c r="AS23" s="85"/>
      <c r="AT23" s="85"/>
      <c r="AU23" s="85"/>
      <c r="AV23" s="85"/>
      <c r="AW23" s="85"/>
      <c r="AX23" s="85"/>
      <c r="AY23" s="85"/>
      <c r="AZ23" s="85"/>
    </row>
    <row r="24" spans="1:52" s="86" customFormat="1" ht="24" customHeight="1" x14ac:dyDescent="0.25">
      <c r="A24" s="2"/>
      <c r="B24" s="2"/>
      <c r="C24" s="2"/>
      <c r="D24" s="2"/>
      <c r="E24" s="2"/>
      <c r="F24" s="2"/>
      <c r="G24" s="2"/>
      <c r="H24" s="2"/>
      <c r="I24" s="2"/>
      <c r="J24" s="2"/>
      <c r="K24" s="2"/>
      <c r="L24" s="148"/>
      <c r="M24" s="89" t="s">
        <v>311</v>
      </c>
      <c r="N24" s="89">
        <v>15</v>
      </c>
      <c r="O24" s="137" t="s">
        <v>283</v>
      </c>
      <c r="P24" s="89" t="str">
        <f>IF('2-Sizing'!G18=0, " -- ",CONCATENATE(N24,O24))</f>
        <v xml:space="preserve"> -- </v>
      </c>
      <c r="Q24" s="89"/>
      <c r="R24" s="89"/>
      <c r="S24" s="89"/>
      <c r="T24" s="89"/>
      <c r="U24" s="89"/>
      <c r="V24" s="89"/>
      <c r="W24" s="88"/>
      <c r="X24" s="89"/>
      <c r="Y24" s="89"/>
      <c r="Z24" s="89"/>
      <c r="AA24" s="89"/>
      <c r="AB24" s="89"/>
      <c r="AC24" s="89"/>
      <c r="AD24" s="89"/>
      <c r="AE24" s="89"/>
      <c r="AF24" s="89"/>
      <c r="AG24" s="89"/>
      <c r="AH24" s="89"/>
      <c r="AI24" s="85"/>
      <c r="AJ24" s="85"/>
      <c r="AK24" s="85"/>
      <c r="AL24" s="85"/>
      <c r="AM24" s="85"/>
      <c r="AN24" s="85"/>
      <c r="AO24" s="85"/>
      <c r="AP24" s="85"/>
      <c r="AQ24" s="85"/>
      <c r="AR24" s="85"/>
      <c r="AS24" s="85"/>
      <c r="AT24" s="85"/>
      <c r="AU24" s="85"/>
      <c r="AV24" s="85"/>
      <c r="AW24" s="85"/>
      <c r="AX24" s="85"/>
      <c r="AY24" s="85"/>
      <c r="AZ24" s="85"/>
    </row>
    <row r="25" spans="1:52" s="86" customFormat="1" ht="24" customHeight="1" x14ac:dyDescent="0.25">
      <c r="A25" s="2"/>
      <c r="B25" s="2"/>
      <c r="C25" s="2"/>
      <c r="D25" s="2"/>
      <c r="E25" s="2"/>
      <c r="F25" s="2"/>
      <c r="G25" s="2"/>
      <c r="H25" s="2"/>
      <c r="I25" s="2"/>
      <c r="J25" s="2"/>
      <c r="K25" s="2"/>
      <c r="L25" s="148"/>
      <c r="M25" s="89" t="s">
        <v>312</v>
      </c>
      <c r="N25" s="89">
        <f>ROUNDUP(N20+(29.5/12),2)</f>
        <v>2.46</v>
      </c>
      <c r="O25" s="319" t="str">
        <f>IF('2-Sizing'!G18=0, " -- ",IF('Flow Rate Charts'!M26=4,CONCATENATE(N25,"-ft")," "))</f>
        <v xml:space="preserve"> -- </v>
      </c>
      <c r="P25" s="89"/>
      <c r="Q25" s="89"/>
      <c r="R25" s="89"/>
      <c r="S25" s="89"/>
      <c r="T25" s="89"/>
      <c r="U25" s="89"/>
      <c r="V25" s="89"/>
      <c r="W25" s="88"/>
      <c r="X25" s="89"/>
      <c r="Y25" s="89"/>
      <c r="Z25" s="89"/>
      <c r="AA25" s="89"/>
      <c r="AB25" s="89"/>
      <c r="AC25" s="89"/>
      <c r="AD25" s="89"/>
      <c r="AE25" s="89"/>
      <c r="AF25" s="89"/>
      <c r="AG25" s="89"/>
      <c r="AH25" s="89"/>
      <c r="AI25" s="85"/>
      <c r="AJ25" s="85"/>
      <c r="AK25" s="85"/>
      <c r="AL25" s="85"/>
      <c r="AM25" s="85"/>
      <c r="AN25" s="85"/>
      <c r="AO25" s="85"/>
      <c r="AP25" s="85"/>
      <c r="AQ25" s="85"/>
      <c r="AR25" s="85"/>
      <c r="AS25" s="85"/>
      <c r="AT25" s="85"/>
      <c r="AU25" s="85"/>
      <c r="AV25" s="85"/>
      <c r="AW25" s="85"/>
      <c r="AX25" s="85"/>
      <c r="AY25" s="85"/>
      <c r="AZ25" s="85"/>
    </row>
    <row r="26" spans="1:52" s="86" customFormat="1" ht="24" customHeight="1" x14ac:dyDescent="0.25">
      <c r="A26" s="2"/>
      <c r="B26" s="2"/>
      <c r="C26" s="2"/>
      <c r="D26" s="2"/>
      <c r="E26" s="2"/>
      <c r="F26" s="2"/>
      <c r="G26" s="2"/>
      <c r="H26" s="2"/>
      <c r="I26" s="2"/>
      <c r="J26" s="2"/>
      <c r="K26" s="2"/>
      <c r="L26" s="148"/>
      <c r="M26" s="89" t="s">
        <v>318</v>
      </c>
      <c r="N26" s="89" t="str">
        <f>IF('2-Sizing'!C19="St. Louis MSD (20 gpm/Filter Module)","Filter Sand", "CPZ Mix Media")</f>
        <v>CPZ Mix Media</v>
      </c>
      <c r="O26" s="318" t="str">
        <f>IF('2-Sizing'!G18=0, "  ",IF('Flow Rate Charts'!M26=4,N26," "))</f>
        <v xml:space="preserve">  </v>
      </c>
      <c r="P26" s="89"/>
      <c r="Q26" s="89"/>
      <c r="R26" s="89"/>
      <c r="S26" s="89"/>
      <c r="T26" s="89"/>
      <c r="U26" s="89"/>
      <c r="V26" s="89"/>
      <c r="W26" s="88"/>
      <c r="X26" s="89"/>
      <c r="Y26" s="89"/>
      <c r="Z26" s="89"/>
      <c r="AA26" s="89"/>
      <c r="AB26" s="89"/>
      <c r="AC26" s="89"/>
      <c r="AD26" s="89"/>
      <c r="AE26" s="89"/>
      <c r="AF26" s="89"/>
      <c r="AG26" s="89"/>
      <c r="AH26" s="89"/>
      <c r="AI26" s="85"/>
      <c r="AJ26" s="85"/>
      <c r="AK26" s="85"/>
      <c r="AL26" s="85"/>
      <c r="AM26" s="85"/>
      <c r="AN26" s="85"/>
      <c r="AO26" s="85"/>
      <c r="AP26" s="85"/>
      <c r="AQ26" s="85"/>
      <c r="AR26" s="85"/>
      <c r="AS26" s="85"/>
      <c r="AT26" s="85"/>
      <c r="AU26" s="85"/>
      <c r="AV26" s="85"/>
      <c r="AW26" s="85"/>
      <c r="AX26" s="85"/>
      <c r="AY26" s="85"/>
      <c r="AZ26" s="85"/>
    </row>
    <row r="27" spans="1:52" s="86" customFormat="1" ht="24" customHeight="1" x14ac:dyDescent="0.25">
      <c r="A27" s="2"/>
      <c r="B27" s="2"/>
      <c r="C27" s="2"/>
      <c r="D27" s="2"/>
      <c r="E27" s="2"/>
      <c r="F27" s="2"/>
      <c r="G27" s="2"/>
      <c r="H27" s="2"/>
      <c r="I27" s="2"/>
      <c r="J27" s="2"/>
      <c r="K27" s="2"/>
      <c r="L27" s="148"/>
      <c r="M27" s="89" t="s">
        <v>48</v>
      </c>
      <c r="N27" s="89">
        <v>3</v>
      </c>
      <c r="O27" s="318" t="str">
        <f>IF('2-Sizing'!G18=0, " -- ",IF('Flow Rate Charts'!M26=4,CONCATENATE(N27, "-cfs")," "))</f>
        <v xml:space="preserve"> -- </v>
      </c>
      <c r="P27" s="89"/>
      <c r="Q27" s="89"/>
      <c r="R27" s="89"/>
      <c r="S27" s="89"/>
      <c r="T27" s="89"/>
      <c r="U27" s="89"/>
      <c r="V27" s="89"/>
      <c r="W27" s="88"/>
      <c r="X27" s="89"/>
      <c r="Y27" s="89"/>
      <c r="Z27" s="89"/>
      <c r="AA27" s="89"/>
      <c r="AB27" s="89"/>
      <c r="AC27" s="89"/>
      <c r="AD27" s="89"/>
      <c r="AE27" s="89"/>
      <c r="AF27" s="89"/>
      <c r="AG27" s="89"/>
      <c r="AH27" s="89"/>
      <c r="AI27" s="85"/>
      <c r="AJ27" s="85"/>
      <c r="AK27" s="85"/>
      <c r="AL27" s="85"/>
      <c r="AM27" s="85"/>
      <c r="AN27" s="85"/>
      <c r="AO27" s="85"/>
      <c r="AP27" s="85"/>
      <c r="AQ27" s="85"/>
      <c r="AR27" s="85"/>
      <c r="AS27" s="85"/>
      <c r="AT27" s="85"/>
      <c r="AU27" s="85"/>
      <c r="AV27" s="85"/>
      <c r="AW27" s="85"/>
      <c r="AX27" s="85"/>
      <c r="AY27" s="85"/>
      <c r="AZ27" s="85"/>
    </row>
    <row r="28" spans="1:52" s="86" customFormat="1" ht="24" customHeight="1" x14ac:dyDescent="0.25">
      <c r="A28" s="2"/>
      <c r="B28" s="2"/>
      <c r="C28" s="2"/>
      <c r="D28" s="2"/>
      <c r="E28" s="2"/>
      <c r="F28" s="2"/>
      <c r="G28" s="2"/>
      <c r="H28" s="2"/>
      <c r="I28" s="2"/>
      <c r="J28" s="2"/>
      <c r="K28" s="2"/>
      <c r="L28" s="148"/>
      <c r="M28" s="89" t="s">
        <v>332</v>
      </c>
      <c r="N28" s="89" t="str">
        <f>IF('Flow Rate Charts'!M26=4," ",IF('Flow Rate Charts'!M26=7,"Hydro International Does Not Recommend Use of This Drawing for the Design Parameters Entered. Use DWG 1-7 Modules (Offline) on Tab 3b", IF('Flow Rate Charts'!M26=10.5,"Hydro International Does Not Recommend The Use of This Drawing. Use DWG 8-19 Mods (On or Offline) on Worksheet 3c instead", IF('Flow Rate Charts'!M26=11, "Hydro International Does Not Recommend the Use of This Drawing. Use DWG 20-38 Mods (On or Offline) on Worksheet 3d instead.", IF('Flow Rate Charts'!M26=15,"Hydro International Does Not Recommend the Use of This Drawing. Use DWG 39-57 Mods (On or Offline) on Worksheet 3e instead.", " ")))))</f>
        <v xml:space="preserve"> </v>
      </c>
      <c r="O28" s="89"/>
      <c r="P28" s="89"/>
      <c r="Q28" s="89"/>
      <c r="R28" s="89"/>
      <c r="S28" s="89"/>
      <c r="T28" s="89"/>
      <c r="U28" s="89"/>
      <c r="V28" s="89"/>
      <c r="W28" s="88"/>
      <c r="X28" s="89"/>
      <c r="Y28" s="89"/>
      <c r="Z28" s="89"/>
      <c r="AA28" s="89"/>
      <c r="AB28" s="89"/>
      <c r="AC28" s="89"/>
      <c r="AD28" s="89"/>
      <c r="AE28" s="89"/>
      <c r="AF28" s="89"/>
      <c r="AG28" s="89"/>
      <c r="AH28" s="89"/>
      <c r="AI28" s="85"/>
      <c r="AJ28" s="85"/>
      <c r="AK28" s="85"/>
      <c r="AL28" s="85"/>
      <c r="AM28" s="85"/>
      <c r="AN28" s="85"/>
      <c r="AO28" s="85"/>
      <c r="AP28" s="85"/>
      <c r="AQ28" s="85"/>
      <c r="AR28" s="85"/>
      <c r="AS28" s="85"/>
      <c r="AT28" s="85"/>
      <c r="AU28" s="85"/>
      <c r="AV28" s="85"/>
      <c r="AW28" s="85"/>
      <c r="AX28" s="85"/>
      <c r="AY28" s="85"/>
      <c r="AZ28" s="85"/>
    </row>
    <row r="29" spans="1:52" s="86" customFormat="1" ht="24" customHeight="1" x14ac:dyDescent="0.25">
      <c r="A29" s="2"/>
      <c r="B29" s="2"/>
      <c r="C29" s="2"/>
      <c r="D29" s="2"/>
      <c r="E29" s="2"/>
      <c r="F29" s="2"/>
      <c r="G29" s="2"/>
      <c r="H29" s="2"/>
      <c r="I29" s="2"/>
      <c r="J29" s="2"/>
      <c r="K29" s="2"/>
      <c r="L29" s="148"/>
      <c r="M29" s="89"/>
      <c r="N29" s="89"/>
      <c r="O29" s="89"/>
      <c r="P29" s="89"/>
      <c r="Q29" s="89"/>
      <c r="R29" s="89"/>
      <c r="S29" s="89"/>
      <c r="T29" s="89"/>
      <c r="U29" s="89"/>
      <c r="V29" s="89"/>
      <c r="W29" s="88"/>
      <c r="X29" s="89"/>
      <c r="Y29" s="89"/>
      <c r="Z29" s="89"/>
      <c r="AA29" s="89"/>
      <c r="AB29" s="89"/>
      <c r="AC29" s="89"/>
      <c r="AD29" s="89"/>
      <c r="AE29" s="89"/>
      <c r="AF29" s="89"/>
      <c r="AG29" s="89"/>
      <c r="AH29" s="89"/>
      <c r="AI29" s="85"/>
      <c r="AJ29" s="85"/>
      <c r="AK29" s="85"/>
      <c r="AL29" s="85"/>
      <c r="AM29" s="85"/>
      <c r="AN29" s="85"/>
      <c r="AO29" s="85"/>
      <c r="AP29" s="85"/>
      <c r="AQ29" s="85"/>
      <c r="AR29" s="85"/>
      <c r="AS29" s="85"/>
      <c r="AT29" s="85"/>
      <c r="AU29" s="85"/>
      <c r="AV29" s="85"/>
      <c r="AW29" s="85"/>
      <c r="AX29" s="85"/>
      <c r="AY29" s="85"/>
      <c r="AZ29" s="85"/>
    </row>
    <row r="30" spans="1:52" s="86" customFormat="1" ht="24" customHeight="1" x14ac:dyDescent="0.25">
      <c r="A30" s="2"/>
      <c r="B30" s="2"/>
      <c r="C30" s="2"/>
      <c r="D30" s="2"/>
      <c r="E30" s="2"/>
      <c r="F30" s="2"/>
      <c r="G30" s="2"/>
      <c r="H30" s="2"/>
      <c r="I30" s="2"/>
      <c r="J30" s="2"/>
      <c r="K30" s="2"/>
      <c r="L30" s="148"/>
      <c r="M30" s="89"/>
      <c r="N30" s="89"/>
      <c r="O30" s="89"/>
      <c r="P30" s="89"/>
      <c r="Q30" s="89"/>
      <c r="R30" s="89"/>
      <c r="S30" s="89"/>
      <c r="T30" s="89"/>
      <c r="U30" s="89"/>
      <c r="V30" s="89"/>
      <c r="W30" s="88"/>
      <c r="X30" s="89"/>
      <c r="Y30" s="89"/>
      <c r="Z30" s="89"/>
      <c r="AA30" s="89"/>
      <c r="AB30" s="89"/>
      <c r="AC30" s="89"/>
      <c r="AD30" s="89"/>
      <c r="AE30" s="89"/>
      <c r="AF30" s="89"/>
      <c r="AG30" s="89"/>
      <c r="AH30" s="89"/>
      <c r="AI30" s="85"/>
      <c r="AJ30" s="85"/>
      <c r="AK30" s="85"/>
      <c r="AL30" s="85"/>
      <c r="AM30" s="85"/>
      <c r="AN30" s="85"/>
      <c r="AO30" s="85"/>
      <c r="AP30" s="85"/>
      <c r="AQ30" s="85"/>
      <c r="AR30" s="85"/>
      <c r="AS30" s="85"/>
      <c r="AT30" s="85"/>
      <c r="AU30" s="85"/>
      <c r="AV30" s="85"/>
      <c r="AW30" s="85"/>
      <c r="AX30" s="85"/>
      <c r="AY30" s="85"/>
      <c r="AZ30" s="85"/>
    </row>
    <row r="31" spans="1:52" s="86" customFormat="1" ht="24" customHeight="1" x14ac:dyDescent="0.25">
      <c r="A31" s="2"/>
      <c r="B31" s="2"/>
      <c r="C31" s="2"/>
      <c r="D31" s="2"/>
      <c r="E31" s="2"/>
      <c r="F31" s="2"/>
      <c r="G31" s="2"/>
      <c r="H31" s="2"/>
      <c r="I31" s="2"/>
      <c r="J31" s="2"/>
      <c r="K31" s="2"/>
      <c r="L31" s="148"/>
      <c r="M31" s="89"/>
      <c r="N31" s="89"/>
      <c r="O31" s="89"/>
      <c r="P31" s="89"/>
      <c r="Q31" s="89"/>
      <c r="R31" s="89"/>
      <c r="S31" s="89"/>
      <c r="T31" s="89"/>
      <c r="U31" s="89"/>
      <c r="V31" s="89"/>
      <c r="W31" s="88"/>
      <c r="X31" s="89"/>
      <c r="Y31" s="89"/>
      <c r="Z31" s="89"/>
      <c r="AA31" s="89"/>
      <c r="AB31" s="89"/>
      <c r="AC31" s="89"/>
      <c r="AD31" s="89"/>
      <c r="AE31" s="89"/>
      <c r="AF31" s="89"/>
      <c r="AG31" s="89"/>
      <c r="AH31" s="89"/>
      <c r="AI31" s="85"/>
      <c r="AJ31" s="85"/>
      <c r="AK31" s="85"/>
      <c r="AL31" s="85"/>
      <c r="AM31" s="85"/>
      <c r="AN31" s="85"/>
      <c r="AO31" s="85"/>
      <c r="AP31" s="85"/>
      <c r="AQ31" s="85"/>
      <c r="AR31" s="85"/>
      <c r="AS31" s="85"/>
      <c r="AT31" s="85"/>
      <c r="AU31" s="85"/>
      <c r="AV31" s="85"/>
      <c r="AW31" s="85"/>
      <c r="AX31" s="85"/>
      <c r="AY31" s="85"/>
      <c r="AZ31" s="85"/>
    </row>
    <row r="32" spans="1:52" s="86" customFormat="1" ht="24" customHeight="1" x14ac:dyDescent="0.25">
      <c r="A32" s="2"/>
      <c r="B32" s="2"/>
      <c r="C32" s="2"/>
      <c r="D32" s="2"/>
      <c r="E32" s="2"/>
      <c r="F32" s="2"/>
      <c r="G32" s="2"/>
      <c r="H32" s="2"/>
      <c r="I32" s="2"/>
      <c r="J32" s="2"/>
      <c r="K32" s="2"/>
      <c r="L32" s="148"/>
      <c r="M32" s="89"/>
      <c r="N32" s="89"/>
      <c r="O32" s="89"/>
      <c r="P32" s="89"/>
      <c r="Q32" s="89"/>
      <c r="R32" s="89"/>
      <c r="S32" s="89"/>
      <c r="T32" s="89"/>
      <c r="U32" s="89"/>
      <c r="V32" s="89"/>
      <c r="W32" s="88"/>
      <c r="X32" s="89"/>
      <c r="Y32" s="89"/>
      <c r="Z32" s="89"/>
      <c r="AA32" s="89"/>
      <c r="AB32" s="89"/>
      <c r="AC32" s="89"/>
      <c r="AD32" s="89"/>
      <c r="AE32" s="89"/>
      <c r="AF32" s="89"/>
      <c r="AG32" s="89"/>
      <c r="AH32" s="89"/>
      <c r="AI32" s="85"/>
      <c r="AJ32" s="85"/>
      <c r="AK32" s="85"/>
      <c r="AL32" s="85"/>
      <c r="AM32" s="85"/>
      <c r="AN32" s="85"/>
      <c r="AO32" s="85"/>
      <c r="AP32" s="85"/>
      <c r="AQ32" s="85"/>
      <c r="AR32" s="85"/>
      <c r="AS32" s="85"/>
      <c r="AT32" s="85"/>
      <c r="AU32" s="85"/>
      <c r="AV32" s="85"/>
      <c r="AW32" s="85"/>
      <c r="AX32" s="85"/>
      <c r="AY32" s="85"/>
      <c r="AZ32" s="85"/>
    </row>
    <row r="33" spans="1:52" s="86" customFormat="1" ht="24" customHeight="1" x14ac:dyDescent="0.25">
      <c r="A33" s="2"/>
      <c r="B33" s="2"/>
      <c r="C33" s="2"/>
      <c r="D33" s="2"/>
      <c r="E33" s="2"/>
      <c r="F33" s="2"/>
      <c r="G33" s="2"/>
      <c r="H33" s="2"/>
      <c r="I33" s="2"/>
      <c r="J33" s="2"/>
      <c r="K33" s="2"/>
      <c r="L33" s="148"/>
      <c r="M33" s="89"/>
      <c r="N33" s="89"/>
      <c r="O33" s="89"/>
      <c r="P33" s="89"/>
      <c r="Q33" s="89"/>
      <c r="R33" s="89"/>
      <c r="S33" s="89"/>
      <c r="T33" s="89"/>
      <c r="U33" s="89"/>
      <c r="V33" s="89"/>
      <c r="W33" s="88"/>
      <c r="X33" s="89"/>
      <c r="Y33" s="89"/>
      <c r="Z33" s="89"/>
      <c r="AA33" s="89"/>
      <c r="AB33" s="89"/>
      <c r="AC33" s="89"/>
      <c r="AD33" s="89"/>
      <c r="AE33" s="89"/>
      <c r="AF33" s="89"/>
      <c r="AG33" s="89"/>
      <c r="AH33" s="89"/>
      <c r="AI33" s="85"/>
      <c r="AJ33" s="85"/>
      <c r="AK33" s="85"/>
      <c r="AL33" s="85"/>
      <c r="AM33" s="85"/>
      <c r="AN33" s="85"/>
      <c r="AO33" s="85"/>
      <c r="AP33" s="85"/>
      <c r="AQ33" s="85"/>
      <c r="AR33" s="85"/>
      <c r="AS33" s="85"/>
      <c r="AT33" s="85"/>
      <c r="AU33" s="85"/>
      <c r="AV33" s="85"/>
      <c r="AW33" s="85"/>
      <c r="AX33" s="85"/>
      <c r="AY33" s="85"/>
      <c r="AZ33" s="85"/>
    </row>
    <row r="34" spans="1:52" s="86" customFormat="1" ht="24" customHeight="1" x14ac:dyDescent="0.25">
      <c r="A34" s="2"/>
      <c r="B34" s="2"/>
      <c r="C34" s="2"/>
      <c r="D34" s="2"/>
      <c r="E34" s="2"/>
      <c r="F34" s="2"/>
      <c r="G34" s="2"/>
      <c r="H34" s="2"/>
      <c r="I34" s="2"/>
      <c r="J34" s="2"/>
      <c r="K34" s="2"/>
      <c r="L34" s="148"/>
      <c r="M34" s="89"/>
      <c r="N34" s="89"/>
      <c r="O34" s="89"/>
      <c r="P34" s="89"/>
      <c r="Q34" s="89"/>
      <c r="R34" s="89"/>
      <c r="S34" s="89"/>
      <c r="T34" s="89"/>
      <c r="U34" s="89"/>
      <c r="V34" s="89"/>
      <c r="W34" s="88"/>
      <c r="X34" s="89"/>
      <c r="Y34" s="89"/>
      <c r="Z34" s="89"/>
      <c r="AA34" s="89"/>
      <c r="AB34" s="89"/>
      <c r="AC34" s="89"/>
      <c r="AD34" s="89"/>
      <c r="AE34" s="89"/>
      <c r="AF34" s="89"/>
      <c r="AG34" s="89"/>
      <c r="AH34" s="89"/>
      <c r="AI34" s="85"/>
      <c r="AJ34" s="85"/>
      <c r="AK34" s="85"/>
      <c r="AL34" s="85"/>
      <c r="AM34" s="85"/>
      <c r="AN34" s="85"/>
      <c r="AO34" s="85"/>
      <c r="AP34" s="85"/>
      <c r="AQ34" s="85"/>
      <c r="AR34" s="85"/>
      <c r="AS34" s="85"/>
      <c r="AT34" s="85"/>
      <c r="AU34" s="85"/>
      <c r="AV34" s="85"/>
      <c r="AW34" s="85"/>
      <c r="AX34" s="85"/>
      <c r="AY34" s="85"/>
      <c r="AZ34" s="85"/>
    </row>
    <row r="35" spans="1:52" s="86" customFormat="1" ht="24" customHeight="1" x14ac:dyDescent="0.25">
      <c r="A35" s="2"/>
      <c r="B35" s="2"/>
      <c r="C35" s="2"/>
      <c r="D35" s="2"/>
      <c r="E35" s="2"/>
      <c r="F35" s="2"/>
      <c r="G35" s="2"/>
      <c r="H35" s="2"/>
      <c r="I35" s="2"/>
      <c r="J35" s="2"/>
      <c r="K35" s="2"/>
      <c r="L35" s="148"/>
      <c r="M35" s="89"/>
      <c r="N35" s="89"/>
      <c r="O35" s="89"/>
      <c r="P35" s="89"/>
      <c r="Q35" s="89"/>
      <c r="R35" s="89"/>
      <c r="S35" s="89"/>
      <c r="T35" s="89"/>
      <c r="U35" s="89"/>
      <c r="V35" s="89"/>
      <c r="W35" s="88"/>
      <c r="X35" s="89"/>
      <c r="Y35" s="89"/>
      <c r="Z35" s="89"/>
      <c r="AA35" s="89"/>
      <c r="AB35" s="89"/>
      <c r="AC35" s="89"/>
      <c r="AD35" s="89"/>
      <c r="AE35" s="89"/>
      <c r="AF35" s="89"/>
      <c r="AG35" s="89"/>
      <c r="AH35" s="89"/>
      <c r="AI35" s="85"/>
      <c r="AJ35" s="85"/>
      <c r="AK35" s="85"/>
      <c r="AL35" s="85"/>
      <c r="AM35" s="85"/>
      <c r="AN35" s="85"/>
      <c r="AO35" s="85"/>
      <c r="AP35" s="85"/>
      <c r="AQ35" s="85"/>
      <c r="AR35" s="85"/>
      <c r="AS35" s="85"/>
      <c r="AT35" s="85"/>
      <c r="AU35" s="85"/>
      <c r="AV35" s="85"/>
      <c r="AW35" s="85"/>
      <c r="AX35" s="85"/>
      <c r="AY35" s="85"/>
      <c r="AZ35" s="85"/>
    </row>
    <row r="36" spans="1:52" s="86" customFormat="1" ht="24" customHeight="1" x14ac:dyDescent="0.25">
      <c r="A36" s="2"/>
      <c r="B36" s="2"/>
      <c r="C36" s="2"/>
      <c r="D36" s="2"/>
      <c r="E36" s="2"/>
      <c r="F36" s="2"/>
      <c r="G36" s="2"/>
      <c r="H36" s="2"/>
      <c r="I36" s="2"/>
      <c r="J36" s="2"/>
      <c r="K36" s="2"/>
      <c r="L36" s="148"/>
      <c r="M36" s="89"/>
      <c r="N36" s="89"/>
      <c r="O36" s="89"/>
      <c r="P36" s="89"/>
      <c r="Q36" s="89"/>
      <c r="R36" s="89"/>
      <c r="S36" s="89"/>
      <c r="T36" s="89"/>
      <c r="U36" s="89"/>
      <c r="V36" s="89"/>
      <c r="W36" s="88"/>
      <c r="X36" s="89"/>
      <c r="Y36" s="89"/>
      <c r="Z36" s="89"/>
      <c r="AA36" s="89"/>
      <c r="AB36" s="89"/>
      <c r="AC36" s="89"/>
      <c r="AD36" s="89"/>
      <c r="AE36" s="89"/>
      <c r="AF36" s="89"/>
      <c r="AG36" s="89"/>
      <c r="AH36" s="89"/>
      <c r="AI36" s="85"/>
      <c r="AJ36" s="85"/>
      <c r="AK36" s="85"/>
      <c r="AL36" s="85"/>
      <c r="AM36" s="85"/>
      <c r="AN36" s="85"/>
      <c r="AO36" s="85"/>
      <c r="AP36" s="85"/>
      <c r="AQ36" s="85"/>
      <c r="AR36" s="85"/>
      <c r="AS36" s="85"/>
      <c r="AT36" s="85"/>
      <c r="AU36" s="85"/>
      <c r="AV36" s="85"/>
      <c r="AW36" s="85"/>
      <c r="AX36" s="85"/>
      <c r="AY36" s="85"/>
      <c r="AZ36" s="85"/>
    </row>
    <row r="37" spans="1:52" s="86" customFormat="1" ht="24" customHeight="1" x14ac:dyDescent="0.25">
      <c r="A37" s="2"/>
      <c r="B37" s="2"/>
      <c r="C37" s="2"/>
      <c r="D37" s="2"/>
      <c r="E37" s="2"/>
      <c r="F37" s="2"/>
      <c r="G37" s="2"/>
      <c r="H37" s="2"/>
      <c r="I37" s="2"/>
      <c r="J37" s="2"/>
      <c r="K37" s="2"/>
      <c r="L37" s="148"/>
      <c r="M37" s="89"/>
      <c r="N37" s="89"/>
      <c r="O37" s="89"/>
      <c r="P37" s="89"/>
      <c r="Q37" s="89"/>
      <c r="R37" s="89"/>
      <c r="S37" s="89"/>
      <c r="T37" s="89"/>
      <c r="U37" s="89"/>
      <c r="V37" s="89"/>
      <c r="W37" s="88"/>
      <c r="X37" s="89"/>
      <c r="Y37" s="89"/>
      <c r="Z37" s="89"/>
      <c r="AA37" s="89"/>
      <c r="AB37" s="89"/>
      <c r="AC37" s="89"/>
      <c r="AD37" s="89"/>
      <c r="AE37" s="89"/>
      <c r="AF37" s="89"/>
      <c r="AG37" s="89"/>
      <c r="AH37" s="89"/>
      <c r="AI37" s="85"/>
      <c r="AJ37" s="85"/>
      <c r="AK37" s="85"/>
      <c r="AL37" s="85"/>
      <c r="AM37" s="85"/>
      <c r="AN37" s="85"/>
      <c r="AO37" s="85"/>
      <c r="AP37" s="85"/>
      <c r="AQ37" s="85"/>
      <c r="AR37" s="85"/>
      <c r="AS37" s="85"/>
      <c r="AT37" s="85"/>
      <c r="AU37" s="85"/>
      <c r="AV37" s="85"/>
      <c r="AW37" s="85"/>
      <c r="AX37" s="85"/>
      <c r="AY37" s="85"/>
      <c r="AZ37" s="85"/>
    </row>
    <row r="38" spans="1:52" s="86" customFormat="1" ht="24" customHeight="1" x14ac:dyDescent="0.25">
      <c r="A38" s="2"/>
      <c r="B38" s="2"/>
      <c r="C38" s="2"/>
      <c r="D38" s="2"/>
      <c r="E38" s="2"/>
      <c r="F38" s="2"/>
      <c r="G38" s="2"/>
      <c r="H38" s="2"/>
      <c r="I38" s="2"/>
      <c r="J38" s="2"/>
      <c r="K38" s="2"/>
      <c r="L38" s="148"/>
      <c r="M38" s="89"/>
      <c r="N38" s="89"/>
      <c r="O38" s="89"/>
      <c r="P38" s="89"/>
      <c r="Q38" s="89"/>
      <c r="R38" s="89"/>
      <c r="S38" s="89"/>
      <c r="T38" s="89"/>
      <c r="U38" s="89"/>
      <c r="V38" s="89"/>
      <c r="W38" s="88"/>
      <c r="X38" s="89"/>
      <c r="Y38" s="89"/>
      <c r="Z38" s="89"/>
      <c r="AA38" s="89"/>
      <c r="AB38" s="89"/>
      <c r="AC38" s="89"/>
      <c r="AD38" s="89"/>
      <c r="AE38" s="89"/>
      <c r="AF38" s="89"/>
      <c r="AG38" s="89"/>
      <c r="AH38" s="89"/>
      <c r="AI38" s="85"/>
      <c r="AJ38" s="85"/>
      <c r="AK38" s="85"/>
      <c r="AL38" s="85"/>
      <c r="AM38" s="85"/>
      <c r="AN38" s="85"/>
      <c r="AO38" s="85"/>
      <c r="AP38" s="85"/>
      <c r="AQ38" s="85"/>
      <c r="AR38" s="85"/>
      <c r="AS38" s="85"/>
      <c r="AT38" s="85"/>
      <c r="AU38" s="85"/>
      <c r="AV38" s="85"/>
      <c r="AW38" s="85"/>
      <c r="AX38" s="85"/>
      <c r="AY38" s="85"/>
      <c r="AZ38" s="85"/>
    </row>
    <row r="39" spans="1:52" s="86" customFormat="1" ht="24" customHeight="1" x14ac:dyDescent="0.25">
      <c r="A39" s="2"/>
      <c r="B39" s="2"/>
      <c r="C39" s="2"/>
      <c r="D39" s="2"/>
      <c r="E39" s="2"/>
      <c r="F39" s="2"/>
      <c r="G39" s="2"/>
      <c r="H39" s="2"/>
      <c r="I39" s="2"/>
      <c r="J39" s="2"/>
      <c r="K39" s="2"/>
      <c r="L39" s="148"/>
      <c r="M39" s="89"/>
      <c r="N39" s="89"/>
      <c r="O39" s="89"/>
      <c r="P39" s="89"/>
      <c r="Q39" s="89"/>
      <c r="R39" s="89"/>
      <c r="S39" s="89"/>
      <c r="T39" s="89"/>
      <c r="U39" s="89"/>
      <c r="V39" s="89"/>
      <c r="W39" s="88"/>
      <c r="X39" s="89"/>
      <c r="Y39" s="89"/>
      <c r="Z39" s="89"/>
      <c r="AA39" s="89"/>
      <c r="AB39" s="89"/>
      <c r="AC39" s="89"/>
      <c r="AD39" s="89"/>
      <c r="AE39" s="89"/>
      <c r="AF39" s="89"/>
      <c r="AG39" s="89"/>
      <c r="AH39" s="89"/>
      <c r="AI39" s="85"/>
      <c r="AJ39" s="85"/>
      <c r="AK39" s="85"/>
      <c r="AL39" s="85"/>
      <c r="AM39" s="85"/>
      <c r="AN39" s="85"/>
      <c r="AO39" s="85"/>
      <c r="AP39" s="85"/>
      <c r="AQ39" s="85"/>
      <c r="AR39" s="85"/>
      <c r="AS39" s="85"/>
      <c r="AT39" s="85"/>
      <c r="AU39" s="85"/>
      <c r="AV39" s="85"/>
      <c r="AW39" s="85"/>
      <c r="AX39" s="85"/>
      <c r="AY39" s="85"/>
      <c r="AZ39" s="85"/>
    </row>
    <row r="40" spans="1:52" s="86" customFormat="1" ht="24" customHeight="1" x14ac:dyDescent="0.25">
      <c r="A40" s="2"/>
      <c r="B40" s="2"/>
      <c r="C40" s="2"/>
      <c r="D40" s="2"/>
      <c r="E40" s="2"/>
      <c r="F40" s="2"/>
      <c r="G40" s="2"/>
      <c r="H40" s="2"/>
      <c r="I40" s="2"/>
      <c r="J40" s="2"/>
      <c r="K40" s="2"/>
      <c r="L40" s="148"/>
      <c r="M40" s="89"/>
      <c r="N40" s="89"/>
      <c r="O40" s="89"/>
      <c r="P40" s="89"/>
      <c r="Q40" s="89"/>
      <c r="R40" s="89"/>
      <c r="S40" s="89"/>
      <c r="T40" s="89"/>
      <c r="U40" s="89"/>
      <c r="V40" s="89"/>
      <c r="W40" s="88"/>
      <c r="X40" s="89"/>
      <c r="Y40" s="89"/>
      <c r="Z40" s="89"/>
      <c r="AA40" s="89"/>
      <c r="AB40" s="89"/>
      <c r="AC40" s="89"/>
      <c r="AD40" s="89"/>
      <c r="AE40" s="89"/>
      <c r="AF40" s="89"/>
      <c r="AG40" s="89"/>
      <c r="AH40" s="89"/>
      <c r="AI40" s="85"/>
      <c r="AJ40" s="85"/>
      <c r="AK40" s="85"/>
      <c r="AL40" s="85"/>
      <c r="AM40" s="85"/>
      <c r="AN40" s="85"/>
      <c r="AO40" s="85"/>
      <c r="AP40" s="85"/>
      <c r="AQ40" s="85"/>
      <c r="AR40" s="85"/>
      <c r="AS40" s="85"/>
      <c r="AT40" s="85"/>
      <c r="AU40" s="85"/>
      <c r="AV40" s="85"/>
      <c r="AW40" s="85"/>
      <c r="AX40" s="85"/>
      <c r="AY40" s="85"/>
      <c r="AZ40" s="85"/>
    </row>
    <row r="41" spans="1:52" s="86" customFormat="1" ht="24" customHeight="1" x14ac:dyDescent="0.25">
      <c r="A41" s="2"/>
      <c r="B41" s="2"/>
      <c r="C41" s="2"/>
      <c r="D41" s="2"/>
      <c r="E41" s="2"/>
      <c r="F41" s="2"/>
      <c r="G41" s="2"/>
      <c r="H41" s="2"/>
      <c r="I41" s="2"/>
      <c r="J41" s="2"/>
      <c r="K41" s="2"/>
      <c r="L41" s="148"/>
      <c r="M41" s="89"/>
      <c r="N41" s="89"/>
      <c r="O41" s="89"/>
      <c r="P41" s="89"/>
      <c r="Q41" s="89"/>
      <c r="R41" s="89"/>
      <c r="S41" s="89"/>
      <c r="T41" s="89"/>
      <c r="U41" s="89"/>
      <c r="V41" s="89"/>
      <c r="W41" s="88"/>
      <c r="X41" s="89"/>
      <c r="Y41" s="89"/>
      <c r="Z41" s="89"/>
      <c r="AA41" s="89"/>
      <c r="AB41" s="89"/>
      <c r="AC41" s="89"/>
      <c r="AD41" s="89"/>
      <c r="AE41" s="89"/>
      <c r="AF41" s="89"/>
      <c r="AG41" s="89"/>
      <c r="AH41" s="89"/>
      <c r="AI41" s="85"/>
      <c r="AJ41" s="85"/>
      <c r="AK41" s="85"/>
      <c r="AL41" s="85"/>
      <c r="AM41" s="85"/>
      <c r="AN41" s="85"/>
      <c r="AO41" s="85"/>
      <c r="AP41" s="85"/>
      <c r="AQ41" s="85"/>
      <c r="AR41" s="85"/>
      <c r="AS41" s="85"/>
      <c r="AT41" s="85"/>
      <c r="AU41" s="85"/>
      <c r="AV41" s="85"/>
      <c r="AW41" s="85"/>
      <c r="AX41" s="85"/>
      <c r="AY41" s="85"/>
      <c r="AZ41" s="85"/>
    </row>
    <row r="42" spans="1:52" s="86" customFormat="1" ht="24" customHeight="1" x14ac:dyDescent="0.25">
      <c r="A42" s="2"/>
      <c r="B42" s="2"/>
      <c r="C42" s="2"/>
      <c r="D42" s="2"/>
      <c r="E42" s="2"/>
      <c r="F42" s="2"/>
      <c r="G42" s="2"/>
      <c r="H42" s="2"/>
      <c r="I42" s="2"/>
      <c r="J42" s="2"/>
      <c r="K42" s="2"/>
      <c r="L42" s="148"/>
      <c r="M42" s="89"/>
      <c r="N42" s="89"/>
      <c r="O42" s="89"/>
      <c r="P42" s="89"/>
      <c r="Q42" s="89"/>
      <c r="R42" s="89"/>
      <c r="S42" s="89"/>
      <c r="T42" s="89"/>
      <c r="U42" s="89"/>
      <c r="V42" s="89"/>
      <c r="W42" s="88"/>
      <c r="X42" s="89"/>
      <c r="Y42" s="89"/>
      <c r="Z42" s="89"/>
      <c r="AA42" s="89"/>
      <c r="AB42" s="89"/>
      <c r="AC42" s="89"/>
      <c r="AD42" s="89"/>
      <c r="AE42" s="89"/>
      <c r="AF42" s="89"/>
      <c r="AG42" s="89"/>
      <c r="AH42" s="89"/>
      <c r="AI42" s="85"/>
      <c r="AJ42" s="85"/>
      <c r="AK42" s="85"/>
      <c r="AL42" s="85"/>
      <c r="AM42" s="85"/>
      <c r="AN42" s="85"/>
      <c r="AO42" s="85"/>
      <c r="AP42" s="85"/>
      <c r="AQ42" s="85"/>
      <c r="AR42" s="85"/>
      <c r="AS42" s="85"/>
      <c r="AT42" s="85"/>
      <c r="AU42" s="85"/>
      <c r="AV42" s="85"/>
      <c r="AW42" s="85"/>
      <c r="AX42" s="85"/>
      <c r="AY42" s="85"/>
      <c r="AZ42" s="85"/>
    </row>
    <row r="43" spans="1:52" s="86" customFormat="1" ht="24" customHeight="1" x14ac:dyDescent="0.25">
      <c r="A43" s="2"/>
      <c r="B43" s="2"/>
      <c r="C43" s="2"/>
      <c r="D43" s="2"/>
      <c r="E43" s="2"/>
      <c r="F43" s="2"/>
      <c r="G43" s="2"/>
      <c r="H43" s="2"/>
      <c r="I43" s="2"/>
      <c r="J43" s="2"/>
      <c r="K43" s="2"/>
      <c r="L43" s="148"/>
      <c r="M43" s="89"/>
      <c r="N43" s="89"/>
      <c r="O43" s="89"/>
      <c r="P43" s="89"/>
      <c r="Q43" s="89"/>
      <c r="R43" s="89"/>
      <c r="S43" s="89"/>
      <c r="T43" s="89"/>
      <c r="U43" s="89"/>
      <c r="V43" s="89"/>
      <c r="W43" s="88"/>
      <c r="X43" s="89"/>
      <c r="Y43" s="89"/>
      <c r="Z43" s="89"/>
      <c r="AA43" s="89"/>
      <c r="AB43" s="89"/>
      <c r="AC43" s="89"/>
      <c r="AD43" s="89"/>
      <c r="AE43" s="89"/>
      <c r="AF43" s="89"/>
      <c r="AG43" s="89"/>
      <c r="AH43" s="89"/>
      <c r="AI43" s="85"/>
      <c r="AJ43" s="85"/>
      <c r="AK43" s="85"/>
      <c r="AL43" s="85"/>
      <c r="AM43" s="85"/>
      <c r="AN43" s="85"/>
      <c r="AO43" s="85"/>
      <c r="AP43" s="85"/>
      <c r="AQ43" s="85"/>
      <c r="AR43" s="85"/>
      <c r="AS43" s="85"/>
      <c r="AT43" s="85"/>
      <c r="AU43" s="85"/>
      <c r="AV43" s="85"/>
      <c r="AW43" s="85"/>
      <c r="AX43" s="85"/>
      <c r="AY43" s="85"/>
      <c r="AZ43" s="85"/>
    </row>
    <row r="44" spans="1:52" s="86" customFormat="1" ht="24" customHeight="1" x14ac:dyDescent="0.25">
      <c r="A44" s="2"/>
      <c r="B44" s="2"/>
      <c r="C44" s="2"/>
      <c r="D44" s="2"/>
      <c r="E44" s="2"/>
      <c r="F44" s="2"/>
      <c r="G44" s="2"/>
      <c r="H44" s="2"/>
      <c r="I44" s="2"/>
      <c r="J44" s="2"/>
      <c r="K44" s="2"/>
      <c r="L44" s="148"/>
      <c r="M44" s="89"/>
      <c r="N44" s="89"/>
      <c r="O44" s="89"/>
      <c r="P44" s="89"/>
      <c r="Q44" s="89"/>
      <c r="R44" s="89"/>
      <c r="S44" s="89"/>
      <c r="T44" s="89"/>
      <c r="U44" s="89"/>
      <c r="V44" s="89"/>
      <c r="W44" s="88"/>
      <c r="X44" s="89"/>
      <c r="Y44" s="89"/>
      <c r="Z44" s="89"/>
      <c r="AA44" s="89"/>
      <c r="AB44" s="89"/>
      <c r="AC44" s="89"/>
      <c r="AD44" s="89"/>
      <c r="AE44" s="89"/>
      <c r="AF44" s="89"/>
      <c r="AG44" s="89"/>
      <c r="AH44" s="89"/>
      <c r="AI44" s="85"/>
      <c r="AJ44" s="85"/>
      <c r="AK44" s="85"/>
      <c r="AL44" s="85"/>
      <c r="AM44" s="85"/>
      <c r="AN44" s="85"/>
      <c r="AO44" s="85"/>
      <c r="AP44" s="85"/>
      <c r="AQ44" s="85"/>
      <c r="AR44" s="85"/>
      <c r="AS44" s="85"/>
      <c r="AT44" s="85"/>
      <c r="AU44" s="85"/>
      <c r="AV44" s="85"/>
      <c r="AW44" s="85"/>
      <c r="AX44" s="85"/>
      <c r="AY44" s="85"/>
      <c r="AZ44" s="85"/>
    </row>
    <row r="45" spans="1:52" s="86" customFormat="1" x14ac:dyDescent="0.25">
      <c r="A45" s="2"/>
      <c r="B45" s="2"/>
      <c r="C45" s="2"/>
      <c r="D45" s="2"/>
      <c r="E45" s="2"/>
      <c r="F45" s="2"/>
      <c r="G45" s="2"/>
      <c r="H45" s="2"/>
      <c r="I45" s="2"/>
      <c r="J45" s="2"/>
      <c r="K45" s="2"/>
      <c r="L45" s="148"/>
      <c r="M45" s="89"/>
      <c r="N45" s="89"/>
      <c r="O45" s="89"/>
      <c r="P45" s="89"/>
      <c r="Q45" s="89"/>
      <c r="R45" s="89"/>
      <c r="S45" s="89"/>
      <c r="T45" s="89"/>
      <c r="U45" s="89"/>
      <c r="V45" s="89"/>
      <c r="W45" s="88"/>
      <c r="X45" s="89"/>
      <c r="Y45" s="89"/>
      <c r="Z45" s="89"/>
      <c r="AA45" s="89"/>
      <c r="AB45" s="89"/>
      <c r="AC45" s="89"/>
      <c r="AD45" s="89"/>
      <c r="AE45" s="89"/>
      <c r="AF45" s="89"/>
      <c r="AG45" s="89"/>
      <c r="AH45" s="89"/>
      <c r="AI45" s="85"/>
      <c r="AJ45" s="85"/>
      <c r="AK45" s="85"/>
      <c r="AL45" s="85"/>
      <c r="AM45" s="85"/>
      <c r="AN45" s="85"/>
      <c r="AO45" s="85"/>
      <c r="AP45" s="85"/>
      <c r="AQ45" s="85"/>
      <c r="AR45" s="85"/>
      <c r="AS45" s="85"/>
      <c r="AT45" s="85"/>
      <c r="AU45" s="85"/>
      <c r="AV45" s="85"/>
      <c r="AW45" s="85"/>
      <c r="AX45" s="85"/>
      <c r="AY45" s="85"/>
      <c r="AZ45" s="85"/>
    </row>
    <row r="46" spans="1:52" s="86" customFormat="1" ht="27.75" customHeight="1" x14ac:dyDescent="0.25">
      <c r="A46" s="2"/>
      <c r="B46" s="2"/>
      <c r="C46" s="2"/>
      <c r="D46" s="2"/>
      <c r="E46" s="2"/>
      <c r="F46" s="2"/>
      <c r="G46" s="2"/>
      <c r="H46" s="2"/>
      <c r="I46" s="2"/>
      <c r="J46" s="2"/>
      <c r="K46" s="2"/>
      <c r="L46" s="148"/>
      <c r="M46" s="89"/>
      <c r="N46" s="89"/>
      <c r="O46" s="89"/>
      <c r="P46" s="89"/>
      <c r="Q46" s="89"/>
      <c r="R46" s="89"/>
      <c r="S46" s="89"/>
      <c r="T46" s="89"/>
      <c r="U46" s="89"/>
      <c r="V46" s="89"/>
      <c r="W46" s="88"/>
      <c r="X46" s="89"/>
      <c r="Y46" s="89"/>
      <c r="Z46" s="89"/>
      <c r="AA46" s="89"/>
      <c r="AB46" s="89"/>
      <c r="AC46" s="89"/>
      <c r="AD46" s="89"/>
      <c r="AE46" s="89"/>
      <c r="AF46" s="89"/>
      <c r="AG46" s="89"/>
      <c r="AH46" s="89"/>
      <c r="AI46" s="85"/>
      <c r="AJ46" s="85"/>
      <c r="AK46" s="85"/>
      <c r="AL46" s="85"/>
      <c r="AM46" s="85"/>
      <c r="AN46" s="85"/>
      <c r="AO46" s="85"/>
      <c r="AP46" s="85"/>
      <c r="AQ46" s="85"/>
      <c r="AR46" s="85"/>
      <c r="AS46" s="85"/>
      <c r="AT46" s="85"/>
      <c r="AU46" s="85"/>
      <c r="AV46" s="85"/>
      <c r="AW46" s="85"/>
      <c r="AX46" s="85"/>
      <c r="AY46" s="85"/>
      <c r="AZ46" s="85"/>
    </row>
    <row r="47" spans="1:52" s="85" customFormat="1" ht="18.75" customHeight="1" x14ac:dyDescent="0.25">
      <c r="A47" s="87"/>
      <c r="B47" s="87"/>
      <c r="C47" s="87"/>
      <c r="D47" s="87"/>
      <c r="E47" s="87"/>
      <c r="F47" s="87"/>
      <c r="G47" s="87"/>
      <c r="H47" s="87"/>
      <c r="I47" s="87"/>
      <c r="J47" s="87"/>
      <c r="K47" s="87"/>
      <c r="L47" s="148"/>
      <c r="M47" s="89"/>
      <c r="N47" s="89"/>
      <c r="O47" s="89"/>
      <c r="P47" s="89"/>
      <c r="Q47" s="89"/>
      <c r="R47" s="89"/>
      <c r="S47" s="89"/>
      <c r="T47" s="89"/>
      <c r="U47" s="89"/>
      <c r="V47" s="89"/>
      <c r="W47" s="88"/>
      <c r="X47" s="89"/>
      <c r="Y47" s="89"/>
      <c r="Z47" s="89"/>
      <c r="AA47" s="89"/>
      <c r="AB47" s="89"/>
      <c r="AC47" s="89"/>
      <c r="AD47" s="89"/>
      <c r="AE47" s="89"/>
      <c r="AF47" s="89"/>
      <c r="AG47" s="89"/>
      <c r="AH47" s="89"/>
    </row>
    <row r="48" spans="1:52" s="85" customFormat="1" x14ac:dyDescent="0.25">
      <c r="A48" s="87"/>
      <c r="B48" s="87"/>
      <c r="C48" s="87"/>
      <c r="D48" s="87"/>
      <c r="E48" s="87"/>
      <c r="F48" s="87"/>
      <c r="G48" s="87"/>
      <c r="H48" s="87"/>
      <c r="I48" s="87"/>
      <c r="J48" s="87"/>
      <c r="K48" s="87"/>
      <c r="L48" s="148"/>
      <c r="M48" s="89"/>
      <c r="N48" s="89"/>
      <c r="O48" s="89"/>
      <c r="P48" s="89"/>
      <c r="Q48" s="89"/>
      <c r="R48" s="89"/>
      <c r="S48" s="89"/>
      <c r="T48" s="89"/>
      <c r="U48" s="89"/>
      <c r="V48" s="89"/>
      <c r="W48" s="88"/>
      <c r="X48" s="89"/>
      <c r="Y48" s="89"/>
      <c r="Z48" s="89"/>
      <c r="AA48" s="89"/>
      <c r="AB48" s="89"/>
      <c r="AC48" s="89"/>
      <c r="AD48" s="89"/>
      <c r="AE48" s="89"/>
      <c r="AF48" s="89"/>
      <c r="AG48" s="89"/>
      <c r="AH48" s="89"/>
    </row>
    <row r="49" spans="1:34" s="85" customFormat="1" x14ac:dyDescent="0.25">
      <c r="A49" s="87"/>
      <c r="B49" s="87"/>
      <c r="C49" s="87"/>
      <c r="D49" s="87"/>
      <c r="E49" s="87"/>
      <c r="F49" s="87"/>
      <c r="G49" s="87"/>
      <c r="H49" s="87"/>
      <c r="I49" s="87"/>
      <c r="J49" s="87"/>
      <c r="K49" s="87"/>
      <c r="L49" s="148"/>
      <c r="M49" s="89"/>
      <c r="N49" s="89"/>
      <c r="O49" s="89"/>
      <c r="P49" s="89"/>
      <c r="Q49" s="89"/>
      <c r="R49" s="89"/>
      <c r="S49" s="89"/>
      <c r="T49" s="89"/>
      <c r="U49" s="89"/>
      <c r="V49" s="89"/>
      <c r="W49" s="88"/>
      <c r="X49" s="89"/>
      <c r="Y49" s="89"/>
      <c r="Z49" s="89"/>
      <c r="AA49" s="89"/>
      <c r="AB49" s="89"/>
      <c r="AC49" s="89"/>
      <c r="AD49" s="89"/>
      <c r="AE49" s="89"/>
      <c r="AF49" s="89"/>
      <c r="AG49" s="89"/>
      <c r="AH49" s="89"/>
    </row>
    <row r="50" spans="1:34" s="85" customFormat="1" x14ac:dyDescent="0.25">
      <c r="A50" s="87"/>
      <c r="B50" s="87"/>
      <c r="C50" s="87"/>
      <c r="D50" s="87"/>
      <c r="E50" s="87"/>
      <c r="F50" s="87"/>
      <c r="G50" s="87"/>
      <c r="H50" s="87"/>
      <c r="I50" s="87"/>
      <c r="J50" s="87"/>
      <c r="K50" s="87"/>
      <c r="L50" s="148"/>
      <c r="M50" s="89"/>
      <c r="N50" s="89"/>
      <c r="O50" s="89"/>
      <c r="P50" s="89"/>
      <c r="Q50" s="89"/>
      <c r="R50" s="89"/>
      <c r="S50" s="89"/>
      <c r="T50" s="89"/>
      <c r="U50" s="89"/>
      <c r="V50" s="89"/>
      <c r="W50" s="88"/>
      <c r="X50" s="89"/>
      <c r="Y50" s="89"/>
      <c r="Z50" s="89"/>
      <c r="AA50" s="89"/>
      <c r="AB50" s="89"/>
      <c r="AC50" s="89"/>
      <c r="AD50" s="89"/>
      <c r="AE50" s="89"/>
      <c r="AF50" s="89"/>
      <c r="AG50" s="89"/>
      <c r="AH50" s="89"/>
    </row>
    <row r="51" spans="1:34" s="85" customFormat="1" x14ac:dyDescent="0.25">
      <c r="A51" s="87"/>
      <c r="B51" s="87"/>
      <c r="C51" s="87"/>
      <c r="D51" s="87"/>
      <c r="E51" s="87"/>
      <c r="F51" s="87"/>
      <c r="G51" s="87"/>
      <c r="H51" s="87"/>
      <c r="I51" s="87"/>
      <c r="J51" s="87"/>
      <c r="K51" s="87"/>
      <c r="L51" s="148"/>
      <c r="M51" s="89"/>
      <c r="N51" s="89"/>
      <c r="O51" s="89"/>
      <c r="P51" s="89"/>
      <c r="Q51" s="89"/>
      <c r="R51" s="89"/>
      <c r="S51" s="89"/>
      <c r="T51" s="89"/>
      <c r="U51" s="89"/>
      <c r="V51" s="89"/>
      <c r="W51" s="88"/>
      <c r="X51" s="89"/>
      <c r="Y51" s="89"/>
      <c r="Z51" s="89"/>
      <c r="AA51" s="89"/>
      <c r="AB51" s="89"/>
      <c r="AC51" s="89"/>
      <c r="AD51" s="89"/>
      <c r="AE51" s="89"/>
      <c r="AF51" s="89"/>
      <c r="AG51" s="89"/>
      <c r="AH51" s="89"/>
    </row>
    <row r="52" spans="1:34" s="85" customFormat="1" x14ac:dyDescent="0.25">
      <c r="A52" s="87"/>
      <c r="B52" s="87"/>
      <c r="C52" s="87"/>
      <c r="D52" s="87"/>
      <c r="E52" s="87"/>
      <c r="F52" s="87"/>
      <c r="G52" s="87"/>
      <c r="H52" s="87"/>
      <c r="I52" s="87"/>
      <c r="J52" s="87"/>
      <c r="K52" s="87"/>
      <c r="L52" s="148"/>
      <c r="M52" s="89"/>
      <c r="N52" s="89"/>
      <c r="O52" s="89"/>
      <c r="P52" s="89"/>
      <c r="Q52" s="89"/>
      <c r="R52" s="89"/>
      <c r="S52" s="89"/>
      <c r="T52" s="89"/>
      <c r="U52" s="89"/>
      <c r="V52" s="89"/>
      <c r="W52" s="88"/>
      <c r="X52" s="89"/>
      <c r="Y52" s="89"/>
      <c r="Z52" s="89"/>
      <c r="AA52" s="89"/>
      <c r="AB52" s="89"/>
      <c r="AC52" s="89"/>
      <c r="AD52" s="89"/>
      <c r="AE52" s="89"/>
      <c r="AF52" s="89"/>
      <c r="AG52" s="89"/>
      <c r="AH52" s="89"/>
    </row>
    <row r="53" spans="1:34" s="85" customFormat="1" x14ac:dyDescent="0.25">
      <c r="A53" s="87"/>
      <c r="B53" s="87"/>
      <c r="C53" s="87"/>
      <c r="D53" s="87"/>
      <c r="E53" s="87"/>
      <c r="F53" s="87"/>
      <c r="G53" s="87"/>
      <c r="H53" s="87"/>
      <c r="I53" s="87"/>
      <c r="J53" s="87"/>
      <c r="K53" s="87"/>
      <c r="L53" s="148"/>
      <c r="M53" s="89"/>
      <c r="N53" s="89"/>
      <c r="O53" s="89"/>
      <c r="P53" s="89"/>
      <c r="Q53" s="89"/>
      <c r="R53" s="89"/>
      <c r="S53" s="89"/>
      <c r="T53" s="89"/>
      <c r="U53" s="89"/>
      <c r="V53" s="89"/>
      <c r="W53" s="88"/>
      <c r="X53" s="89"/>
      <c r="Y53" s="89"/>
      <c r="Z53" s="89"/>
      <c r="AA53" s="89"/>
      <c r="AB53" s="89"/>
      <c r="AC53" s="89"/>
      <c r="AD53" s="89"/>
      <c r="AE53" s="89"/>
      <c r="AF53" s="89"/>
      <c r="AG53" s="89"/>
      <c r="AH53" s="89"/>
    </row>
    <row r="54" spans="1:34" s="85" customFormat="1" x14ac:dyDescent="0.25">
      <c r="A54" s="87"/>
      <c r="B54" s="87"/>
      <c r="C54" s="87"/>
      <c r="D54" s="87"/>
      <c r="E54" s="87"/>
      <c r="F54" s="87"/>
      <c r="G54" s="87"/>
      <c r="H54" s="87"/>
      <c r="I54" s="87"/>
      <c r="J54" s="87"/>
      <c r="K54" s="87"/>
      <c r="L54" s="148"/>
      <c r="M54" s="89"/>
      <c r="N54" s="89"/>
      <c r="O54" s="89"/>
      <c r="P54" s="89"/>
      <c r="Q54" s="89"/>
      <c r="R54" s="89"/>
      <c r="S54" s="89"/>
      <c r="T54" s="89"/>
      <c r="U54" s="89"/>
      <c r="V54" s="89"/>
      <c r="W54" s="88"/>
      <c r="X54" s="89"/>
      <c r="Y54" s="89"/>
      <c r="Z54" s="89"/>
      <c r="AA54" s="89"/>
      <c r="AB54" s="89"/>
      <c r="AC54" s="89"/>
      <c r="AD54" s="89"/>
      <c r="AE54" s="89"/>
      <c r="AF54" s="89"/>
      <c r="AG54" s="89"/>
      <c r="AH54" s="89"/>
    </row>
    <row r="55" spans="1:34" s="85" customFormat="1" x14ac:dyDescent="0.25">
      <c r="A55" s="87"/>
      <c r="B55" s="87"/>
      <c r="C55" s="87"/>
      <c r="D55" s="87"/>
      <c r="E55" s="87"/>
      <c r="F55" s="87"/>
      <c r="G55" s="87"/>
      <c r="H55" s="87"/>
      <c r="I55" s="87"/>
      <c r="J55" s="87"/>
      <c r="K55" s="87"/>
      <c r="L55" s="148"/>
      <c r="M55" s="89"/>
      <c r="N55" s="89"/>
      <c r="O55" s="89"/>
      <c r="P55" s="89"/>
      <c r="Q55" s="89"/>
      <c r="R55" s="89"/>
      <c r="S55" s="89"/>
      <c r="T55" s="89"/>
      <c r="U55" s="89"/>
      <c r="V55" s="89"/>
      <c r="W55" s="88"/>
      <c r="X55" s="89"/>
      <c r="Y55" s="89"/>
      <c r="Z55" s="89"/>
      <c r="AA55" s="89"/>
      <c r="AB55" s="89"/>
      <c r="AC55" s="89"/>
      <c r="AD55" s="89"/>
      <c r="AE55" s="89"/>
      <c r="AF55" s="89"/>
      <c r="AG55" s="89"/>
      <c r="AH55" s="89"/>
    </row>
    <row r="56" spans="1:34" s="85" customFormat="1" x14ac:dyDescent="0.25">
      <c r="A56" s="87"/>
      <c r="B56" s="87"/>
      <c r="C56" s="87"/>
      <c r="D56" s="87"/>
      <c r="E56" s="87"/>
      <c r="F56" s="87"/>
      <c r="G56" s="87"/>
      <c r="H56" s="87"/>
      <c r="I56" s="87"/>
      <c r="J56" s="87"/>
      <c r="K56" s="87"/>
      <c r="L56" s="148"/>
      <c r="M56" s="89"/>
      <c r="N56" s="89"/>
      <c r="O56" s="89"/>
      <c r="P56" s="89"/>
      <c r="Q56" s="89"/>
      <c r="R56" s="89"/>
      <c r="S56" s="89"/>
      <c r="T56" s="89"/>
      <c r="U56" s="89"/>
      <c r="V56" s="89"/>
      <c r="W56" s="88"/>
      <c r="X56" s="89"/>
      <c r="Y56" s="89"/>
      <c r="Z56" s="89"/>
      <c r="AA56" s="89"/>
      <c r="AB56" s="89"/>
      <c r="AC56" s="89"/>
      <c r="AD56" s="89"/>
      <c r="AE56" s="89"/>
      <c r="AF56" s="89"/>
      <c r="AG56" s="89"/>
      <c r="AH56" s="89"/>
    </row>
    <row r="57" spans="1:34" s="85" customFormat="1" x14ac:dyDescent="0.25">
      <c r="L57" s="89"/>
      <c r="M57" s="89"/>
      <c r="N57" s="89"/>
      <c r="O57" s="89"/>
      <c r="P57" s="89"/>
      <c r="Q57" s="89"/>
      <c r="R57" s="89"/>
      <c r="S57" s="89"/>
      <c r="T57" s="89"/>
      <c r="U57" s="89"/>
      <c r="V57" s="89"/>
      <c r="W57" s="88"/>
      <c r="X57" s="89"/>
      <c r="Y57" s="89"/>
      <c r="Z57" s="89"/>
      <c r="AA57" s="89"/>
      <c r="AB57" s="89"/>
      <c r="AC57" s="89"/>
      <c r="AD57" s="89"/>
      <c r="AE57" s="89"/>
      <c r="AF57" s="89"/>
      <c r="AG57" s="89"/>
      <c r="AH57" s="89"/>
    </row>
    <row r="58" spans="1:34" s="85" customFormat="1" x14ac:dyDescent="0.25">
      <c r="L58" s="89"/>
      <c r="M58" s="89"/>
      <c r="N58" s="89"/>
      <c r="O58" s="89"/>
      <c r="P58" s="89"/>
      <c r="Q58" s="89"/>
      <c r="R58" s="89"/>
      <c r="S58" s="89"/>
      <c r="T58" s="89"/>
      <c r="U58" s="89"/>
      <c r="V58" s="89"/>
      <c r="W58" s="88"/>
      <c r="X58" s="89"/>
      <c r="Y58" s="89"/>
      <c r="Z58" s="89"/>
      <c r="AA58" s="89"/>
      <c r="AB58" s="89"/>
      <c r="AC58" s="89"/>
      <c r="AD58" s="89"/>
      <c r="AE58" s="89"/>
      <c r="AF58" s="89"/>
      <c r="AG58" s="89"/>
      <c r="AH58" s="89"/>
    </row>
    <row r="59" spans="1:34" s="85" customFormat="1" hidden="1" x14ac:dyDescent="0.25">
      <c r="L59" s="89"/>
      <c r="M59" s="89"/>
      <c r="N59" s="89"/>
      <c r="O59" s="89"/>
      <c r="P59" s="89"/>
      <c r="Q59" s="89"/>
      <c r="R59" s="89"/>
      <c r="S59" s="89"/>
      <c r="T59" s="89"/>
      <c r="U59" s="89"/>
      <c r="V59" s="89"/>
      <c r="W59" s="88"/>
      <c r="X59" s="89"/>
      <c r="Y59" s="89"/>
      <c r="Z59" s="89"/>
      <c r="AA59" s="89"/>
      <c r="AB59" s="89"/>
      <c r="AC59" s="89"/>
      <c r="AD59" s="89"/>
      <c r="AE59" s="89"/>
      <c r="AF59" s="89"/>
      <c r="AG59" s="89"/>
      <c r="AH59" s="89"/>
    </row>
    <row r="60" spans="1:34" s="85" customFormat="1" x14ac:dyDescent="0.25">
      <c r="L60" s="89"/>
      <c r="M60" s="89"/>
      <c r="N60" s="89"/>
      <c r="O60" s="89"/>
      <c r="P60" s="89"/>
      <c r="Q60" s="89"/>
      <c r="R60" s="89"/>
      <c r="S60" s="89"/>
      <c r="T60" s="89"/>
      <c r="U60" s="89"/>
      <c r="V60" s="89"/>
      <c r="W60" s="88"/>
      <c r="X60" s="89"/>
      <c r="Y60" s="89"/>
      <c r="Z60" s="89"/>
      <c r="AA60" s="89"/>
      <c r="AB60" s="89"/>
      <c r="AC60" s="89"/>
      <c r="AD60" s="89"/>
      <c r="AE60" s="89"/>
      <c r="AF60" s="89"/>
      <c r="AG60" s="89"/>
      <c r="AH60" s="89"/>
    </row>
    <row r="61" spans="1:34" s="85" customFormat="1" x14ac:dyDescent="0.25">
      <c r="L61" s="89"/>
      <c r="M61" s="89"/>
      <c r="N61" s="89"/>
      <c r="O61" s="89"/>
      <c r="P61" s="89"/>
      <c r="Q61" s="89"/>
      <c r="R61" s="89"/>
      <c r="S61" s="89"/>
      <c r="T61" s="89"/>
      <c r="U61" s="89"/>
      <c r="V61" s="89"/>
      <c r="W61" s="88"/>
      <c r="X61" s="89"/>
      <c r="Y61" s="89"/>
      <c r="Z61" s="89"/>
      <c r="AA61" s="89"/>
      <c r="AB61" s="89"/>
      <c r="AC61" s="89"/>
      <c r="AD61" s="89"/>
      <c r="AE61" s="89"/>
      <c r="AF61" s="89"/>
      <c r="AG61" s="89"/>
      <c r="AH61" s="89"/>
    </row>
    <row r="62" spans="1:34" s="85" customFormat="1" x14ac:dyDescent="0.25">
      <c r="L62" s="89"/>
      <c r="M62" s="89"/>
      <c r="N62" s="89"/>
      <c r="O62" s="89"/>
      <c r="P62" s="89"/>
      <c r="Q62" s="89"/>
      <c r="R62" s="89"/>
      <c r="S62" s="89"/>
      <c r="T62" s="89"/>
      <c r="U62" s="89"/>
      <c r="V62" s="89"/>
      <c r="W62" s="88"/>
      <c r="X62" s="89"/>
      <c r="Y62" s="89"/>
      <c r="Z62" s="89"/>
      <c r="AA62" s="89"/>
      <c r="AB62" s="89"/>
      <c r="AC62" s="89"/>
      <c r="AD62" s="89"/>
      <c r="AE62" s="89"/>
      <c r="AF62" s="89"/>
      <c r="AG62" s="89"/>
      <c r="AH62" s="89"/>
    </row>
    <row r="63" spans="1:34" s="85" customFormat="1" x14ac:dyDescent="0.25">
      <c r="L63" s="89"/>
      <c r="M63" s="89"/>
      <c r="N63" s="89"/>
      <c r="O63" s="89"/>
      <c r="P63" s="89"/>
      <c r="Q63" s="89"/>
      <c r="R63" s="89"/>
      <c r="S63" s="89"/>
      <c r="T63" s="89"/>
      <c r="U63" s="89"/>
      <c r="V63" s="89"/>
      <c r="W63" s="88"/>
      <c r="X63" s="89"/>
      <c r="Y63" s="89"/>
      <c r="Z63" s="89"/>
      <c r="AA63" s="89"/>
      <c r="AB63" s="89"/>
      <c r="AC63" s="89"/>
      <c r="AD63" s="89"/>
      <c r="AE63" s="89"/>
      <c r="AF63" s="89"/>
      <c r="AG63" s="89"/>
      <c r="AH63" s="89"/>
    </row>
    <row r="64" spans="1:34" s="85" customFormat="1" x14ac:dyDescent="0.25">
      <c r="L64" s="89"/>
      <c r="M64" s="89"/>
      <c r="N64" s="89"/>
      <c r="O64" s="89"/>
      <c r="P64" s="89"/>
      <c r="Q64" s="89"/>
      <c r="R64" s="89"/>
      <c r="S64" s="89"/>
      <c r="T64" s="89"/>
      <c r="U64" s="89"/>
      <c r="V64" s="89"/>
      <c r="W64" s="88"/>
      <c r="X64" s="89"/>
      <c r="Y64" s="89"/>
      <c r="Z64" s="89"/>
      <c r="AA64" s="89"/>
      <c r="AB64" s="89"/>
      <c r="AC64" s="89"/>
      <c r="AD64" s="89"/>
      <c r="AE64" s="89"/>
      <c r="AF64" s="89"/>
      <c r="AG64" s="89"/>
      <c r="AH64" s="89"/>
    </row>
    <row r="65" spans="12:34" s="85" customFormat="1" x14ac:dyDescent="0.25">
      <c r="L65" s="89"/>
      <c r="M65" s="89"/>
      <c r="N65" s="89"/>
      <c r="O65" s="89"/>
      <c r="P65" s="89"/>
      <c r="Q65" s="89"/>
      <c r="R65" s="89"/>
      <c r="S65" s="89"/>
      <c r="T65" s="89"/>
      <c r="U65" s="89"/>
      <c r="V65" s="89"/>
      <c r="W65" s="88"/>
      <c r="X65" s="89"/>
      <c r="Y65" s="89"/>
      <c r="Z65" s="89"/>
      <c r="AA65" s="89"/>
      <c r="AB65" s="89"/>
      <c r="AC65" s="89"/>
      <c r="AD65" s="89"/>
      <c r="AE65" s="89"/>
      <c r="AF65" s="89"/>
      <c r="AG65" s="89"/>
      <c r="AH65" s="89"/>
    </row>
    <row r="66" spans="12:34" s="85" customFormat="1" x14ac:dyDescent="0.25">
      <c r="L66" s="89"/>
      <c r="M66" s="89"/>
      <c r="N66" s="89"/>
      <c r="O66" s="89"/>
      <c r="P66" s="89"/>
      <c r="Q66" s="89"/>
      <c r="R66" s="89"/>
      <c r="S66" s="89"/>
      <c r="T66" s="89"/>
      <c r="U66" s="89"/>
      <c r="V66" s="89"/>
      <c r="W66" s="88"/>
      <c r="X66" s="89"/>
      <c r="Y66" s="89"/>
      <c r="Z66" s="89"/>
      <c r="AA66" s="89"/>
      <c r="AB66" s="89"/>
      <c r="AC66" s="89"/>
      <c r="AD66" s="89"/>
      <c r="AE66" s="89"/>
      <c r="AF66" s="89"/>
      <c r="AG66" s="89"/>
      <c r="AH66" s="89"/>
    </row>
    <row r="67" spans="12:34" s="85" customFormat="1" x14ac:dyDescent="0.25">
      <c r="L67" s="89"/>
      <c r="M67" s="89"/>
      <c r="N67" s="89"/>
      <c r="O67" s="89"/>
      <c r="P67" s="89"/>
      <c r="Q67" s="89"/>
      <c r="R67" s="89"/>
      <c r="S67" s="89"/>
      <c r="T67" s="89"/>
      <c r="U67" s="89"/>
      <c r="V67" s="89"/>
      <c r="W67" s="88"/>
      <c r="X67" s="89"/>
      <c r="Y67" s="89"/>
      <c r="Z67" s="89"/>
      <c r="AA67" s="89"/>
      <c r="AB67" s="89"/>
      <c r="AC67" s="89"/>
      <c r="AD67" s="89"/>
      <c r="AE67" s="89"/>
      <c r="AF67" s="89"/>
      <c r="AG67" s="89"/>
      <c r="AH67" s="89"/>
    </row>
    <row r="68" spans="12:34" s="85" customFormat="1" x14ac:dyDescent="0.25">
      <c r="L68" s="89"/>
      <c r="M68" s="89"/>
      <c r="N68" s="89"/>
      <c r="O68" s="89"/>
      <c r="P68" s="89"/>
      <c r="Q68" s="89"/>
      <c r="R68" s="89"/>
      <c r="S68" s="89"/>
      <c r="T68" s="89"/>
      <c r="U68" s="89"/>
      <c r="V68" s="89"/>
      <c r="W68" s="88"/>
      <c r="X68" s="89"/>
      <c r="Y68" s="89"/>
      <c r="Z68" s="89"/>
      <c r="AA68" s="89"/>
      <c r="AB68" s="89"/>
      <c r="AC68" s="89"/>
      <c r="AD68" s="89"/>
      <c r="AE68" s="89"/>
      <c r="AF68" s="89"/>
      <c r="AG68" s="89"/>
      <c r="AH68" s="89"/>
    </row>
    <row r="69" spans="12:34" s="85" customFormat="1" x14ac:dyDescent="0.25">
      <c r="L69" s="89"/>
      <c r="M69" s="89"/>
      <c r="N69" s="89"/>
      <c r="O69" s="89"/>
      <c r="P69" s="89"/>
      <c r="Q69" s="89"/>
      <c r="R69" s="89"/>
      <c r="S69" s="89"/>
      <c r="T69" s="89"/>
      <c r="U69" s="89"/>
      <c r="V69" s="89"/>
      <c r="W69" s="88"/>
      <c r="X69" s="89"/>
      <c r="Y69" s="89"/>
      <c r="Z69" s="89"/>
      <c r="AA69" s="89"/>
      <c r="AB69" s="89"/>
      <c r="AC69" s="89"/>
      <c r="AD69" s="89"/>
      <c r="AE69" s="89"/>
      <c r="AF69" s="89"/>
      <c r="AG69" s="89"/>
      <c r="AH69" s="89"/>
    </row>
    <row r="70" spans="12:34" s="85" customFormat="1" x14ac:dyDescent="0.25">
      <c r="L70" s="89"/>
      <c r="M70" s="89"/>
      <c r="N70" s="89"/>
      <c r="O70" s="89"/>
      <c r="P70" s="89"/>
      <c r="Q70" s="89"/>
      <c r="R70" s="89"/>
      <c r="S70" s="89"/>
      <c r="T70" s="89"/>
      <c r="U70" s="89"/>
      <c r="V70" s="89"/>
      <c r="W70" s="88"/>
      <c r="X70" s="89"/>
      <c r="Y70" s="89"/>
      <c r="Z70" s="89"/>
      <c r="AA70" s="89"/>
      <c r="AB70" s="89"/>
      <c r="AC70" s="89"/>
      <c r="AD70" s="89"/>
      <c r="AE70" s="89"/>
      <c r="AF70" s="89"/>
      <c r="AG70" s="89"/>
      <c r="AH70" s="89"/>
    </row>
    <row r="71" spans="12:34" s="85" customFormat="1" x14ac:dyDescent="0.25">
      <c r="L71" s="89"/>
      <c r="M71" s="89"/>
      <c r="N71" s="89"/>
      <c r="O71" s="89"/>
      <c r="P71" s="89"/>
      <c r="Q71" s="89"/>
      <c r="R71" s="89"/>
      <c r="S71" s="89"/>
      <c r="T71" s="89"/>
      <c r="U71" s="89"/>
      <c r="V71" s="89"/>
      <c r="W71" s="88"/>
      <c r="X71" s="89"/>
      <c r="Y71" s="89"/>
      <c r="Z71" s="89"/>
      <c r="AA71" s="89"/>
      <c r="AB71" s="89"/>
      <c r="AC71" s="89"/>
      <c r="AD71" s="89"/>
      <c r="AE71" s="89"/>
      <c r="AF71" s="89"/>
      <c r="AG71" s="89"/>
      <c r="AH71" s="89"/>
    </row>
    <row r="72" spans="12:34" s="85" customFormat="1" x14ac:dyDescent="0.25">
      <c r="L72" s="89"/>
      <c r="M72" s="89"/>
      <c r="N72" s="89"/>
      <c r="O72" s="89"/>
      <c r="P72" s="89"/>
      <c r="Q72" s="89"/>
      <c r="R72" s="89"/>
      <c r="S72" s="89"/>
      <c r="T72" s="89"/>
      <c r="U72" s="89"/>
      <c r="V72" s="89"/>
      <c r="W72" s="88"/>
      <c r="X72" s="89"/>
      <c r="Y72" s="89"/>
      <c r="Z72" s="89"/>
      <c r="AA72" s="89"/>
      <c r="AB72" s="89"/>
      <c r="AC72" s="89"/>
      <c r="AD72" s="89"/>
      <c r="AE72" s="89"/>
      <c r="AF72" s="89"/>
      <c r="AG72" s="89"/>
      <c r="AH72" s="89"/>
    </row>
    <row r="73" spans="12:34" s="85" customFormat="1" x14ac:dyDescent="0.25">
      <c r="L73" s="89"/>
      <c r="M73" s="89"/>
      <c r="N73" s="89"/>
      <c r="O73" s="89"/>
      <c r="P73" s="89"/>
      <c r="Q73" s="89"/>
      <c r="R73" s="89"/>
      <c r="S73" s="89"/>
      <c r="T73" s="89"/>
      <c r="U73" s="89"/>
      <c r="V73" s="89"/>
      <c r="W73" s="88"/>
      <c r="X73" s="89"/>
      <c r="Y73" s="89"/>
      <c r="Z73" s="89"/>
      <c r="AA73" s="89"/>
      <c r="AB73" s="89"/>
      <c r="AC73" s="89"/>
      <c r="AD73" s="89"/>
      <c r="AE73" s="89"/>
      <c r="AF73" s="89"/>
      <c r="AG73" s="89"/>
      <c r="AH73" s="89"/>
    </row>
    <row r="74" spans="12:34" s="85" customFormat="1" x14ac:dyDescent="0.25">
      <c r="L74" s="89"/>
      <c r="M74" s="89"/>
      <c r="N74" s="89"/>
      <c r="O74" s="89"/>
      <c r="P74" s="89"/>
      <c r="Q74" s="89"/>
      <c r="R74" s="89"/>
      <c r="S74" s="89"/>
      <c r="T74" s="89"/>
      <c r="U74" s="89"/>
      <c r="V74" s="89"/>
      <c r="W74" s="88"/>
      <c r="X74" s="89"/>
      <c r="Y74" s="89"/>
      <c r="Z74" s="89"/>
      <c r="AA74" s="89"/>
      <c r="AB74" s="89"/>
      <c r="AC74" s="89"/>
      <c r="AD74" s="89"/>
      <c r="AE74" s="89"/>
      <c r="AF74" s="89"/>
      <c r="AG74" s="89"/>
      <c r="AH74" s="89"/>
    </row>
    <row r="75" spans="12:34" s="85" customFormat="1" x14ac:dyDescent="0.25">
      <c r="L75" s="89"/>
      <c r="M75" s="89"/>
      <c r="N75" s="89"/>
      <c r="O75" s="89"/>
      <c r="P75" s="89"/>
      <c r="Q75" s="89"/>
      <c r="R75" s="89"/>
      <c r="S75" s="89"/>
      <c r="T75" s="89"/>
      <c r="U75" s="89"/>
      <c r="V75" s="89"/>
      <c r="W75" s="88"/>
      <c r="X75" s="89"/>
      <c r="Y75" s="89"/>
      <c r="Z75" s="89"/>
      <c r="AA75" s="89"/>
      <c r="AB75" s="89"/>
      <c r="AC75" s="89"/>
      <c r="AD75" s="89"/>
      <c r="AE75" s="89"/>
      <c r="AF75" s="89"/>
      <c r="AG75" s="89"/>
      <c r="AH75" s="89"/>
    </row>
    <row r="76" spans="12:34" s="85" customFormat="1" x14ac:dyDescent="0.25">
      <c r="L76" s="89"/>
      <c r="M76" s="89"/>
      <c r="N76" s="89"/>
      <c r="O76" s="89"/>
      <c r="P76" s="89"/>
      <c r="Q76" s="89"/>
      <c r="R76" s="89"/>
      <c r="S76" s="89"/>
      <c r="T76" s="89"/>
      <c r="U76" s="89"/>
      <c r="V76" s="89"/>
      <c r="W76" s="88"/>
      <c r="X76" s="89"/>
      <c r="Y76" s="89"/>
      <c r="Z76" s="89"/>
      <c r="AA76" s="89"/>
      <c r="AB76" s="89"/>
      <c r="AC76" s="89"/>
      <c r="AD76" s="89"/>
      <c r="AE76" s="89"/>
      <c r="AF76" s="89"/>
      <c r="AG76" s="89"/>
      <c r="AH76" s="89"/>
    </row>
    <row r="77" spans="12:34" s="85" customFormat="1" x14ac:dyDescent="0.25">
      <c r="L77" s="89"/>
      <c r="M77" s="89"/>
      <c r="N77" s="89"/>
      <c r="O77" s="89"/>
      <c r="P77" s="89"/>
      <c r="Q77" s="89"/>
      <c r="R77" s="89"/>
      <c r="S77" s="89"/>
      <c r="T77" s="89"/>
      <c r="U77" s="89"/>
      <c r="V77" s="89"/>
      <c r="W77" s="88"/>
      <c r="X77" s="89"/>
      <c r="Y77" s="89"/>
      <c r="Z77" s="89"/>
      <c r="AA77" s="89"/>
      <c r="AB77" s="89"/>
      <c r="AC77" s="89"/>
      <c r="AD77" s="89"/>
      <c r="AE77" s="89"/>
      <c r="AF77" s="89"/>
      <c r="AG77" s="89"/>
      <c r="AH77" s="89"/>
    </row>
    <row r="78" spans="12:34" s="85" customFormat="1" x14ac:dyDescent="0.25">
      <c r="L78" s="89"/>
      <c r="M78" s="89"/>
      <c r="N78" s="89"/>
      <c r="O78" s="89"/>
      <c r="P78" s="89"/>
      <c r="Q78" s="89"/>
      <c r="R78" s="89"/>
      <c r="S78" s="89"/>
      <c r="T78" s="89"/>
      <c r="U78" s="89"/>
      <c r="V78" s="89"/>
      <c r="W78" s="88"/>
      <c r="X78" s="89"/>
      <c r="Y78" s="89"/>
      <c r="Z78" s="89"/>
      <c r="AA78" s="89"/>
      <c r="AB78" s="89"/>
      <c r="AC78" s="89"/>
      <c r="AD78" s="89"/>
      <c r="AE78" s="89"/>
      <c r="AF78" s="89"/>
      <c r="AG78" s="89"/>
      <c r="AH78" s="89"/>
    </row>
    <row r="79" spans="12:34" s="85" customFormat="1" x14ac:dyDescent="0.25">
      <c r="L79" s="89"/>
      <c r="M79" s="89"/>
      <c r="N79" s="89"/>
      <c r="O79" s="89"/>
      <c r="P79" s="89"/>
      <c r="Q79" s="89"/>
      <c r="R79" s="89"/>
      <c r="S79" s="89"/>
      <c r="T79" s="89"/>
      <c r="U79" s="89"/>
      <c r="V79" s="89"/>
      <c r="W79" s="88"/>
      <c r="X79" s="89"/>
      <c r="Y79" s="89"/>
      <c r="Z79" s="89"/>
      <c r="AA79" s="89"/>
      <c r="AB79" s="89"/>
      <c r="AC79" s="89"/>
      <c r="AD79" s="89"/>
      <c r="AE79" s="89"/>
      <c r="AF79" s="89"/>
      <c r="AG79" s="89"/>
      <c r="AH79" s="89"/>
    </row>
    <row r="80" spans="12:34" s="85" customFormat="1" x14ac:dyDescent="0.25">
      <c r="L80" s="89"/>
      <c r="M80" s="89"/>
      <c r="N80" s="89"/>
      <c r="O80" s="89"/>
      <c r="P80" s="89"/>
      <c r="Q80" s="89"/>
      <c r="R80" s="89"/>
      <c r="S80" s="89"/>
      <c r="T80" s="89"/>
      <c r="U80" s="89"/>
      <c r="V80" s="89"/>
      <c r="W80" s="88"/>
      <c r="X80" s="89"/>
      <c r="Y80" s="89"/>
      <c r="Z80" s="89"/>
      <c r="AA80" s="89"/>
      <c r="AB80" s="89"/>
      <c r="AC80" s="89"/>
      <c r="AD80" s="89"/>
      <c r="AE80" s="89"/>
      <c r="AF80" s="89"/>
      <c r="AG80" s="89"/>
      <c r="AH80" s="89"/>
    </row>
    <row r="81" spans="12:34" s="85" customFormat="1" x14ac:dyDescent="0.25">
      <c r="L81" s="89"/>
      <c r="M81" s="89"/>
      <c r="N81" s="89"/>
      <c r="O81" s="89"/>
      <c r="P81" s="89"/>
      <c r="Q81" s="89"/>
      <c r="R81" s="89"/>
      <c r="S81" s="89"/>
      <c r="T81" s="89"/>
      <c r="U81" s="89"/>
      <c r="V81" s="89"/>
      <c r="W81" s="88"/>
      <c r="X81" s="89"/>
      <c r="Y81" s="89"/>
      <c r="Z81" s="89"/>
      <c r="AA81" s="89"/>
      <c r="AB81" s="89"/>
      <c r="AC81" s="89"/>
      <c r="AD81" s="89"/>
      <c r="AE81" s="89"/>
      <c r="AF81" s="89"/>
      <c r="AG81" s="89"/>
      <c r="AH81" s="89"/>
    </row>
    <row r="82" spans="12:34" s="85" customFormat="1" x14ac:dyDescent="0.25">
      <c r="L82" s="89"/>
      <c r="M82" s="89"/>
      <c r="N82" s="89"/>
      <c r="O82" s="89"/>
      <c r="P82" s="89"/>
      <c r="Q82" s="89"/>
      <c r="R82" s="89"/>
      <c r="S82" s="89"/>
      <c r="T82" s="89"/>
      <c r="U82" s="89"/>
      <c r="V82" s="89"/>
      <c r="W82" s="88"/>
      <c r="X82" s="89"/>
      <c r="Y82" s="89"/>
      <c r="Z82" s="89"/>
      <c r="AA82" s="89"/>
      <c r="AB82" s="89"/>
      <c r="AC82" s="89"/>
      <c r="AD82" s="89"/>
      <c r="AE82" s="89"/>
      <c r="AF82" s="89"/>
      <c r="AG82" s="89"/>
      <c r="AH82" s="89"/>
    </row>
    <row r="83" spans="12:34" s="85" customFormat="1" x14ac:dyDescent="0.25">
      <c r="L83" s="89"/>
      <c r="M83" s="89"/>
      <c r="N83" s="89"/>
      <c r="O83" s="89"/>
      <c r="P83" s="89"/>
      <c r="Q83" s="89"/>
      <c r="R83" s="89"/>
      <c r="S83" s="89"/>
      <c r="T83" s="89"/>
      <c r="U83" s="89"/>
      <c r="V83" s="89"/>
      <c r="W83" s="88"/>
      <c r="X83" s="89"/>
      <c r="Y83" s="89"/>
      <c r="Z83" s="89"/>
      <c r="AA83" s="89"/>
      <c r="AB83" s="89"/>
      <c r="AC83" s="89"/>
      <c r="AD83" s="89"/>
      <c r="AE83" s="89"/>
      <c r="AF83" s="89"/>
      <c r="AG83" s="89"/>
      <c r="AH83" s="89"/>
    </row>
    <row r="84" spans="12:34" s="85" customFormat="1" x14ac:dyDescent="0.25">
      <c r="L84" s="89"/>
      <c r="M84" s="89"/>
      <c r="N84" s="89"/>
      <c r="O84" s="89"/>
      <c r="P84" s="89"/>
      <c r="Q84" s="89"/>
      <c r="R84" s="89"/>
      <c r="S84" s="89"/>
      <c r="T84" s="89"/>
      <c r="U84" s="89"/>
      <c r="V84" s="89"/>
      <c r="W84" s="88"/>
      <c r="X84" s="89"/>
      <c r="Y84" s="89"/>
      <c r="Z84" s="89"/>
      <c r="AA84" s="89"/>
      <c r="AB84" s="89"/>
      <c r="AC84" s="89"/>
      <c r="AD84" s="89"/>
      <c r="AE84" s="89"/>
      <c r="AF84" s="89"/>
      <c r="AG84" s="89"/>
      <c r="AH84" s="89"/>
    </row>
    <row r="85" spans="12:34" s="85" customFormat="1" x14ac:dyDescent="0.25">
      <c r="L85" s="89"/>
      <c r="M85" s="89"/>
      <c r="N85" s="89"/>
      <c r="O85" s="89"/>
      <c r="P85" s="89"/>
      <c r="Q85" s="89"/>
      <c r="R85" s="89"/>
      <c r="S85" s="89"/>
      <c r="T85" s="89"/>
      <c r="U85" s="89"/>
      <c r="V85" s="89"/>
      <c r="W85" s="88"/>
      <c r="X85" s="89"/>
      <c r="Y85" s="89"/>
      <c r="Z85" s="89"/>
      <c r="AA85" s="89"/>
      <c r="AB85" s="89"/>
      <c r="AC85" s="89"/>
      <c r="AD85" s="89"/>
      <c r="AE85" s="89"/>
      <c r="AF85" s="89"/>
      <c r="AG85" s="89"/>
      <c r="AH85" s="89"/>
    </row>
    <row r="86" spans="12:34" s="85" customFormat="1" x14ac:dyDescent="0.25">
      <c r="L86" s="89"/>
      <c r="M86" s="89"/>
      <c r="N86" s="89"/>
      <c r="O86" s="89"/>
      <c r="P86" s="89"/>
      <c r="Q86" s="89"/>
      <c r="R86" s="89"/>
      <c r="S86" s="89"/>
      <c r="T86" s="89"/>
      <c r="U86" s="89"/>
      <c r="V86" s="89"/>
      <c r="W86" s="88"/>
      <c r="X86" s="89"/>
      <c r="Y86" s="89"/>
      <c r="Z86" s="89"/>
      <c r="AA86" s="89"/>
      <c r="AB86" s="89"/>
      <c r="AC86" s="89"/>
      <c r="AD86" s="89"/>
      <c r="AE86" s="89"/>
      <c r="AF86" s="89"/>
      <c r="AG86" s="89"/>
      <c r="AH86" s="89"/>
    </row>
    <row r="87" spans="12:34" s="85" customFormat="1" x14ac:dyDescent="0.25">
      <c r="L87" s="89"/>
      <c r="M87" s="89"/>
      <c r="N87" s="89"/>
      <c r="O87" s="89"/>
      <c r="P87" s="89"/>
      <c r="Q87" s="89"/>
      <c r="R87" s="89"/>
      <c r="S87" s="89"/>
      <c r="T87" s="89"/>
      <c r="U87" s="89"/>
      <c r="V87" s="89"/>
      <c r="W87" s="88"/>
      <c r="X87" s="89"/>
      <c r="Y87" s="89"/>
      <c r="Z87" s="89"/>
      <c r="AA87" s="89"/>
      <c r="AB87" s="89"/>
      <c r="AC87" s="89"/>
      <c r="AD87" s="89"/>
      <c r="AE87" s="89"/>
      <c r="AF87" s="89"/>
      <c r="AG87" s="89"/>
      <c r="AH87" s="89"/>
    </row>
    <row r="88" spans="12:34" s="85" customFormat="1" x14ac:dyDescent="0.25">
      <c r="L88" s="89"/>
      <c r="M88" s="89"/>
      <c r="N88" s="89"/>
      <c r="O88" s="89"/>
      <c r="P88" s="89"/>
      <c r="Q88" s="89"/>
      <c r="R88" s="89"/>
      <c r="S88" s="89"/>
      <c r="T88" s="89"/>
      <c r="U88" s="89"/>
      <c r="V88" s="89"/>
      <c r="W88" s="88"/>
      <c r="X88" s="89"/>
      <c r="Y88" s="89"/>
      <c r="Z88" s="89"/>
      <c r="AA88" s="89"/>
      <c r="AB88" s="89"/>
      <c r="AC88" s="89"/>
      <c r="AD88" s="89"/>
      <c r="AE88" s="89"/>
      <c r="AF88" s="89"/>
      <c r="AG88" s="89"/>
      <c r="AH88" s="89"/>
    </row>
    <row r="89" spans="12:34" s="85" customFormat="1" x14ac:dyDescent="0.25">
      <c r="L89" s="89"/>
      <c r="M89" s="89"/>
      <c r="N89" s="89"/>
      <c r="O89" s="89"/>
      <c r="P89" s="89"/>
      <c r="Q89" s="89"/>
      <c r="R89" s="89"/>
      <c r="S89" s="89"/>
      <c r="T89" s="89"/>
      <c r="U89" s="89"/>
      <c r="V89" s="89"/>
      <c r="W89" s="88"/>
      <c r="X89" s="89"/>
      <c r="Y89" s="89"/>
      <c r="Z89" s="89"/>
      <c r="AA89" s="89"/>
      <c r="AB89" s="89"/>
      <c r="AC89" s="89"/>
      <c r="AD89" s="89"/>
      <c r="AE89" s="89"/>
      <c r="AF89" s="89"/>
      <c r="AG89" s="89"/>
      <c r="AH89" s="89"/>
    </row>
    <row r="90" spans="12:34" s="85" customFormat="1" x14ac:dyDescent="0.25">
      <c r="L90" s="89"/>
      <c r="M90" s="89"/>
      <c r="N90" s="89"/>
      <c r="O90" s="89"/>
      <c r="P90" s="89"/>
      <c r="Q90" s="89"/>
      <c r="R90" s="89"/>
      <c r="S90" s="89"/>
      <c r="T90" s="89"/>
      <c r="U90" s="89"/>
      <c r="V90" s="89"/>
      <c r="W90" s="88"/>
      <c r="X90" s="89"/>
      <c r="Y90" s="89"/>
      <c r="Z90" s="89"/>
      <c r="AA90" s="89"/>
      <c r="AB90" s="89"/>
      <c r="AC90" s="89"/>
      <c r="AD90" s="89"/>
      <c r="AE90" s="89"/>
      <c r="AF90" s="89"/>
      <c r="AG90" s="89"/>
      <c r="AH90" s="89"/>
    </row>
    <row r="91" spans="12:34" s="85" customFormat="1" x14ac:dyDescent="0.25">
      <c r="L91" s="89"/>
      <c r="M91" s="89"/>
      <c r="N91" s="89"/>
      <c r="O91" s="89"/>
      <c r="P91" s="89"/>
      <c r="Q91" s="89"/>
      <c r="R91" s="89"/>
      <c r="S91" s="89"/>
      <c r="T91" s="89"/>
      <c r="U91" s="89"/>
      <c r="V91" s="89"/>
      <c r="W91" s="88"/>
      <c r="X91" s="89"/>
      <c r="Y91" s="89"/>
      <c r="Z91" s="89"/>
      <c r="AA91" s="89"/>
      <c r="AB91" s="89"/>
      <c r="AC91" s="89"/>
      <c r="AD91" s="89"/>
      <c r="AE91" s="89"/>
      <c r="AF91" s="89"/>
      <c r="AG91" s="89"/>
      <c r="AH91" s="89"/>
    </row>
    <row r="92" spans="12:34" s="85" customFormat="1" x14ac:dyDescent="0.25">
      <c r="L92" s="89"/>
      <c r="M92" s="89"/>
      <c r="N92" s="89"/>
      <c r="O92" s="89"/>
      <c r="P92" s="89"/>
      <c r="Q92" s="89"/>
      <c r="R92" s="89"/>
      <c r="S92" s="89"/>
      <c r="T92" s="89"/>
      <c r="U92" s="89"/>
      <c r="V92" s="89"/>
      <c r="W92" s="88"/>
      <c r="X92" s="89"/>
      <c r="Y92" s="89"/>
      <c r="Z92" s="89"/>
      <c r="AA92" s="89"/>
      <c r="AB92" s="89"/>
      <c r="AC92" s="89"/>
      <c r="AD92" s="89"/>
      <c r="AE92" s="89"/>
      <c r="AF92" s="89"/>
      <c r="AG92" s="89"/>
      <c r="AH92" s="89"/>
    </row>
    <row r="93" spans="12:34" s="85" customFormat="1" x14ac:dyDescent="0.25">
      <c r="L93" s="89"/>
      <c r="M93" s="89"/>
      <c r="N93" s="89"/>
      <c r="O93" s="89"/>
      <c r="P93" s="89"/>
      <c r="Q93" s="89"/>
      <c r="R93" s="89"/>
      <c r="S93" s="89"/>
      <c r="T93" s="89"/>
      <c r="U93" s="89"/>
      <c r="V93" s="89"/>
      <c r="W93" s="88"/>
      <c r="X93" s="89"/>
      <c r="Y93" s="89"/>
      <c r="Z93" s="89"/>
      <c r="AA93" s="89"/>
      <c r="AB93" s="89"/>
      <c r="AC93" s="89"/>
      <c r="AD93" s="89"/>
      <c r="AE93" s="89"/>
      <c r="AF93" s="89"/>
      <c r="AG93" s="89"/>
      <c r="AH93" s="89"/>
    </row>
    <row r="94" spans="12:34" s="85" customFormat="1" x14ac:dyDescent="0.25">
      <c r="L94" s="89"/>
      <c r="M94" s="89"/>
      <c r="N94" s="89"/>
      <c r="O94" s="89"/>
      <c r="P94" s="89"/>
      <c r="Q94" s="89"/>
      <c r="R94" s="89"/>
      <c r="S94" s="89"/>
      <c r="T94" s="89"/>
      <c r="U94" s="89"/>
      <c r="V94" s="89"/>
      <c r="W94" s="88"/>
      <c r="X94" s="89"/>
      <c r="Y94" s="89"/>
      <c r="Z94" s="89"/>
      <c r="AA94" s="89"/>
      <c r="AB94" s="89"/>
      <c r="AC94" s="89"/>
      <c r="AD94" s="89"/>
      <c r="AE94" s="89"/>
      <c r="AF94" s="89"/>
      <c r="AG94" s="89"/>
      <c r="AH94" s="89"/>
    </row>
    <row r="95" spans="12:34" s="85" customFormat="1" x14ac:dyDescent="0.25">
      <c r="L95" s="89"/>
      <c r="M95" s="89"/>
      <c r="N95" s="89"/>
      <c r="O95" s="89"/>
      <c r="P95" s="89"/>
      <c r="Q95" s="89"/>
      <c r="R95" s="89"/>
      <c r="S95" s="89"/>
      <c r="T95" s="89"/>
      <c r="U95" s="89"/>
      <c r="V95" s="89"/>
      <c r="W95" s="88"/>
      <c r="X95" s="89"/>
      <c r="Y95" s="89"/>
      <c r="Z95" s="89"/>
      <c r="AA95" s="89"/>
      <c r="AB95" s="89"/>
      <c r="AC95" s="89"/>
      <c r="AD95" s="89"/>
      <c r="AE95" s="89"/>
      <c r="AF95" s="89"/>
      <c r="AG95" s="89"/>
      <c r="AH95" s="89"/>
    </row>
    <row r="96" spans="12:34" s="85" customFormat="1" x14ac:dyDescent="0.25">
      <c r="L96" s="89"/>
      <c r="M96" s="89"/>
      <c r="N96" s="89"/>
      <c r="O96" s="89"/>
      <c r="P96" s="89"/>
      <c r="Q96" s="89"/>
      <c r="R96" s="89"/>
      <c r="S96" s="89"/>
      <c r="T96" s="89"/>
      <c r="U96" s="89"/>
      <c r="V96" s="89"/>
      <c r="W96" s="88"/>
      <c r="X96" s="89"/>
      <c r="Y96" s="89"/>
      <c r="Z96" s="89"/>
      <c r="AA96" s="89"/>
      <c r="AB96" s="89"/>
      <c r="AC96" s="89"/>
      <c r="AD96" s="89"/>
      <c r="AE96" s="89"/>
      <c r="AF96" s="89"/>
      <c r="AG96" s="89"/>
      <c r="AH96" s="89"/>
    </row>
    <row r="97" spans="12:34" s="85" customFormat="1" x14ac:dyDescent="0.25">
      <c r="L97" s="89"/>
      <c r="M97" s="89"/>
      <c r="N97" s="89"/>
      <c r="O97" s="89"/>
      <c r="P97" s="89"/>
      <c r="Q97" s="89"/>
      <c r="R97" s="89"/>
      <c r="S97" s="89"/>
      <c r="T97" s="89"/>
      <c r="U97" s="89"/>
      <c r="V97" s="89"/>
      <c r="W97" s="88"/>
      <c r="X97" s="89"/>
      <c r="Y97" s="89"/>
      <c r="Z97" s="89"/>
      <c r="AA97" s="89"/>
      <c r="AB97" s="89"/>
      <c r="AC97" s="89"/>
      <c r="AD97" s="89"/>
      <c r="AE97" s="89"/>
      <c r="AF97" s="89"/>
      <c r="AG97" s="89"/>
      <c r="AH97" s="89"/>
    </row>
    <row r="98" spans="12:34" s="85" customFormat="1" x14ac:dyDescent="0.25">
      <c r="L98" s="89"/>
      <c r="M98" s="89"/>
      <c r="N98" s="89"/>
      <c r="O98" s="89"/>
      <c r="P98" s="89"/>
      <c r="Q98" s="89"/>
      <c r="R98" s="89"/>
      <c r="S98" s="89"/>
      <c r="T98" s="89"/>
      <c r="U98" s="89"/>
      <c r="V98" s="89"/>
      <c r="W98" s="88"/>
      <c r="X98" s="89"/>
      <c r="Y98" s="89"/>
      <c r="Z98" s="89"/>
      <c r="AA98" s="89"/>
      <c r="AB98" s="89"/>
      <c r="AC98" s="89"/>
      <c r="AD98" s="89"/>
      <c r="AE98" s="89"/>
      <c r="AF98" s="89"/>
      <c r="AG98" s="89"/>
      <c r="AH98" s="89"/>
    </row>
    <row r="99" spans="12:34" s="85" customFormat="1" x14ac:dyDescent="0.25">
      <c r="L99" s="89"/>
      <c r="M99" s="89"/>
      <c r="N99" s="89"/>
      <c r="O99" s="89"/>
      <c r="P99" s="89"/>
      <c r="Q99" s="89"/>
      <c r="R99" s="89"/>
      <c r="S99" s="89"/>
      <c r="T99" s="89"/>
      <c r="U99" s="89"/>
      <c r="V99" s="89"/>
      <c r="W99" s="88"/>
      <c r="X99" s="89"/>
      <c r="Y99" s="89"/>
      <c r="Z99" s="89"/>
      <c r="AA99" s="89"/>
      <c r="AB99" s="89"/>
      <c r="AC99" s="89"/>
      <c r="AD99" s="89"/>
      <c r="AE99" s="89"/>
      <c r="AF99" s="89"/>
      <c r="AG99" s="89"/>
      <c r="AH99" s="89"/>
    </row>
    <row r="100" spans="12:34" s="85" customFormat="1" x14ac:dyDescent="0.25">
      <c r="L100" s="89"/>
      <c r="M100" s="89"/>
      <c r="N100" s="89"/>
      <c r="O100" s="89"/>
      <c r="P100" s="89"/>
      <c r="Q100" s="89"/>
      <c r="R100" s="89"/>
      <c r="S100" s="89"/>
      <c r="T100" s="89"/>
      <c r="U100" s="89"/>
      <c r="V100" s="89"/>
      <c r="W100" s="88"/>
      <c r="X100" s="89"/>
      <c r="Y100" s="89"/>
      <c r="Z100" s="89"/>
      <c r="AA100" s="89"/>
      <c r="AB100" s="89"/>
      <c r="AC100" s="89"/>
      <c r="AD100" s="89"/>
      <c r="AE100" s="89"/>
      <c r="AF100" s="89"/>
      <c r="AG100" s="89"/>
      <c r="AH100" s="89"/>
    </row>
    <row r="101" spans="12:34" s="85" customFormat="1" x14ac:dyDescent="0.25">
      <c r="L101" s="89"/>
      <c r="M101" s="89"/>
      <c r="N101" s="89"/>
      <c r="O101" s="89"/>
      <c r="P101" s="89"/>
      <c r="Q101" s="89"/>
      <c r="R101" s="89"/>
      <c r="S101" s="89"/>
      <c r="T101" s="89"/>
      <c r="U101" s="89"/>
      <c r="V101" s="89"/>
      <c r="W101" s="88"/>
      <c r="X101" s="89"/>
      <c r="Y101" s="89"/>
      <c r="Z101" s="89"/>
      <c r="AA101" s="89"/>
      <c r="AB101" s="89"/>
      <c r="AC101" s="89"/>
      <c r="AD101" s="89"/>
      <c r="AE101" s="89"/>
      <c r="AF101" s="89"/>
      <c r="AG101" s="89"/>
      <c r="AH101" s="89"/>
    </row>
    <row r="102" spans="12:34" s="85" customFormat="1" x14ac:dyDescent="0.25">
      <c r="L102" s="89"/>
      <c r="M102" s="89"/>
      <c r="N102" s="89"/>
      <c r="O102" s="89"/>
      <c r="P102" s="89"/>
      <c r="Q102" s="89"/>
      <c r="R102" s="89"/>
      <c r="S102" s="89"/>
      <c r="T102" s="89"/>
      <c r="U102" s="89"/>
      <c r="V102" s="89"/>
      <c r="W102" s="88"/>
      <c r="X102" s="89"/>
      <c r="Y102" s="89"/>
      <c r="Z102" s="89"/>
      <c r="AA102" s="89"/>
      <c r="AB102" s="89"/>
      <c r="AC102" s="89"/>
      <c r="AD102" s="89"/>
      <c r="AE102" s="89"/>
      <c r="AF102" s="89"/>
      <c r="AG102" s="89"/>
      <c r="AH102" s="89"/>
    </row>
    <row r="103" spans="12:34" s="85" customFormat="1" x14ac:dyDescent="0.25">
      <c r="L103" s="89"/>
      <c r="M103" s="89"/>
      <c r="N103" s="89"/>
      <c r="O103" s="89"/>
      <c r="P103" s="89"/>
      <c r="Q103" s="89"/>
      <c r="R103" s="89"/>
      <c r="S103" s="89"/>
      <c r="T103" s="89"/>
      <c r="U103" s="89"/>
      <c r="V103" s="89"/>
      <c r="W103" s="88"/>
      <c r="X103" s="89"/>
      <c r="Y103" s="89"/>
      <c r="Z103" s="89"/>
      <c r="AA103" s="89"/>
      <c r="AB103" s="89"/>
      <c r="AC103" s="89"/>
      <c r="AD103" s="89"/>
      <c r="AE103" s="89"/>
      <c r="AF103" s="89"/>
      <c r="AG103" s="89"/>
      <c r="AH103" s="89"/>
    </row>
    <row r="104" spans="12:34" s="85" customFormat="1" x14ac:dyDescent="0.25">
      <c r="L104" s="89"/>
      <c r="M104" s="89"/>
      <c r="N104" s="89"/>
      <c r="O104" s="89"/>
      <c r="P104" s="89"/>
      <c r="Q104" s="89"/>
      <c r="R104" s="89"/>
      <c r="S104" s="89"/>
      <c r="T104" s="89"/>
      <c r="U104" s="89"/>
      <c r="V104" s="89"/>
      <c r="W104" s="88"/>
      <c r="X104" s="89"/>
      <c r="Y104" s="89"/>
      <c r="Z104" s="89"/>
      <c r="AA104" s="89"/>
      <c r="AB104" s="89"/>
      <c r="AC104" s="89"/>
      <c r="AD104" s="89"/>
      <c r="AE104" s="89"/>
      <c r="AF104" s="89"/>
      <c r="AG104" s="89"/>
      <c r="AH104" s="89"/>
    </row>
    <row r="105" spans="12:34" s="85" customFormat="1" x14ac:dyDescent="0.25">
      <c r="L105" s="89"/>
      <c r="M105" s="89"/>
      <c r="N105" s="89"/>
      <c r="O105" s="89"/>
      <c r="P105" s="89"/>
      <c r="Q105" s="89"/>
      <c r="R105" s="89"/>
      <c r="S105" s="89"/>
      <c r="T105" s="89"/>
      <c r="U105" s="89"/>
      <c r="V105" s="89"/>
      <c r="W105" s="88"/>
      <c r="X105" s="89"/>
      <c r="Y105" s="89"/>
      <c r="Z105" s="89"/>
      <c r="AA105" s="89"/>
      <c r="AB105" s="89"/>
      <c r="AC105" s="89"/>
      <c r="AD105" s="89"/>
      <c r="AE105" s="89"/>
      <c r="AF105" s="89"/>
      <c r="AG105" s="89"/>
      <c r="AH105" s="89"/>
    </row>
    <row r="106" spans="12:34" s="85" customFormat="1" x14ac:dyDescent="0.25">
      <c r="L106" s="89"/>
      <c r="M106" s="89"/>
      <c r="N106" s="89"/>
      <c r="O106" s="89"/>
      <c r="P106" s="89"/>
      <c r="Q106" s="89"/>
      <c r="R106" s="89"/>
      <c r="S106" s="89"/>
      <c r="T106" s="89"/>
      <c r="U106" s="89"/>
      <c r="V106" s="89"/>
      <c r="W106" s="88"/>
      <c r="X106" s="89"/>
      <c r="Y106" s="89"/>
      <c r="Z106" s="89"/>
      <c r="AA106" s="89"/>
      <c r="AB106" s="89"/>
      <c r="AC106" s="89"/>
      <c r="AD106" s="89"/>
      <c r="AE106" s="89"/>
      <c r="AF106" s="89"/>
      <c r="AG106" s="89"/>
      <c r="AH106" s="89"/>
    </row>
    <row r="107" spans="12:34" s="85" customFormat="1" x14ac:dyDescent="0.25">
      <c r="L107" s="89"/>
      <c r="M107" s="89"/>
      <c r="N107" s="89"/>
      <c r="O107" s="89"/>
      <c r="P107" s="89"/>
      <c r="Q107" s="89"/>
      <c r="R107" s="89"/>
      <c r="S107" s="89"/>
      <c r="T107" s="89"/>
      <c r="U107" s="89"/>
      <c r="V107" s="89"/>
      <c r="W107" s="88"/>
      <c r="X107" s="89"/>
      <c r="Y107" s="89"/>
      <c r="Z107" s="89"/>
      <c r="AA107" s="89"/>
      <c r="AB107" s="89"/>
      <c r="AC107" s="89"/>
      <c r="AD107" s="89"/>
      <c r="AE107" s="89"/>
      <c r="AF107" s="89"/>
      <c r="AG107" s="89"/>
      <c r="AH107" s="89"/>
    </row>
    <row r="108" spans="12:34" s="85" customFormat="1" x14ac:dyDescent="0.25">
      <c r="L108" s="89"/>
      <c r="M108" s="89"/>
      <c r="N108" s="89"/>
      <c r="O108" s="89"/>
      <c r="P108" s="89"/>
      <c r="Q108" s="89"/>
      <c r="R108" s="89"/>
      <c r="S108" s="89"/>
      <c r="T108" s="89"/>
      <c r="U108" s="89"/>
      <c r="V108" s="89"/>
      <c r="W108" s="88"/>
      <c r="X108" s="89"/>
      <c r="Y108" s="89"/>
      <c r="Z108" s="89"/>
      <c r="AA108" s="89"/>
      <c r="AB108" s="89"/>
      <c r="AC108" s="89"/>
      <c r="AD108" s="89"/>
      <c r="AE108" s="89"/>
      <c r="AF108" s="89"/>
      <c r="AG108" s="89"/>
      <c r="AH108" s="89"/>
    </row>
    <row r="109" spans="12:34" s="85" customFormat="1" x14ac:dyDescent="0.25">
      <c r="L109" s="89"/>
      <c r="M109" s="89"/>
      <c r="N109" s="89"/>
      <c r="O109" s="89"/>
      <c r="P109" s="89"/>
      <c r="Q109" s="89"/>
      <c r="R109" s="89"/>
      <c r="S109" s="89"/>
      <c r="T109" s="89"/>
      <c r="U109" s="89"/>
      <c r="V109" s="89"/>
      <c r="W109" s="88"/>
      <c r="X109" s="89"/>
      <c r="Y109" s="89"/>
      <c r="Z109" s="89"/>
      <c r="AA109" s="89"/>
      <c r="AB109" s="89"/>
      <c r="AC109" s="89"/>
      <c r="AD109" s="89"/>
      <c r="AE109" s="89"/>
      <c r="AF109" s="89"/>
      <c r="AG109" s="89"/>
      <c r="AH109" s="89"/>
    </row>
    <row r="110" spans="12:34" s="85" customFormat="1" x14ac:dyDescent="0.25">
      <c r="L110" s="89"/>
      <c r="M110" s="89"/>
      <c r="N110" s="89"/>
      <c r="O110" s="89"/>
      <c r="P110" s="89"/>
      <c r="Q110" s="89"/>
      <c r="R110" s="89"/>
      <c r="S110" s="89"/>
      <c r="T110" s="89"/>
      <c r="U110" s="89"/>
      <c r="V110" s="89"/>
      <c r="W110" s="88"/>
      <c r="X110" s="89"/>
      <c r="Y110" s="89"/>
      <c r="Z110" s="89"/>
      <c r="AA110" s="89"/>
      <c r="AB110" s="89"/>
      <c r="AC110" s="89"/>
      <c r="AD110" s="89"/>
      <c r="AE110" s="89"/>
      <c r="AF110" s="89"/>
      <c r="AG110" s="89"/>
      <c r="AH110" s="89"/>
    </row>
    <row r="111" spans="12:34" s="85" customFormat="1" x14ac:dyDescent="0.25">
      <c r="L111" s="89"/>
      <c r="M111" s="89"/>
      <c r="N111" s="89"/>
      <c r="O111" s="89"/>
      <c r="P111" s="89"/>
      <c r="Q111" s="89"/>
      <c r="R111" s="89"/>
      <c r="S111" s="89"/>
      <c r="T111" s="89"/>
      <c r="U111" s="89"/>
      <c r="V111" s="89"/>
      <c r="W111" s="88"/>
      <c r="X111" s="89"/>
      <c r="Y111" s="89"/>
      <c r="Z111" s="89"/>
      <c r="AA111" s="89"/>
      <c r="AB111" s="89"/>
      <c r="AC111" s="89"/>
      <c r="AD111" s="89"/>
      <c r="AE111" s="89"/>
      <c r="AF111" s="89"/>
      <c r="AG111" s="89"/>
      <c r="AH111" s="89"/>
    </row>
    <row r="112" spans="12:34" s="85" customFormat="1" x14ac:dyDescent="0.25">
      <c r="L112" s="89"/>
      <c r="M112" s="89"/>
      <c r="N112" s="89"/>
      <c r="O112" s="89"/>
      <c r="P112" s="89"/>
      <c r="Q112" s="89"/>
      <c r="R112" s="89"/>
      <c r="S112" s="89"/>
      <c r="T112" s="89"/>
      <c r="U112" s="89"/>
      <c r="V112" s="89"/>
      <c r="W112" s="88"/>
      <c r="X112" s="89"/>
      <c r="Y112" s="89"/>
      <c r="Z112" s="89"/>
      <c r="AA112" s="89"/>
      <c r="AB112" s="89"/>
      <c r="AC112" s="89"/>
      <c r="AD112" s="89"/>
      <c r="AE112" s="89"/>
      <c r="AF112" s="89"/>
      <c r="AG112" s="89"/>
      <c r="AH112" s="89"/>
    </row>
    <row r="113" spans="12:34" s="85" customFormat="1" x14ac:dyDescent="0.25">
      <c r="L113" s="89"/>
      <c r="M113" s="89"/>
      <c r="N113" s="89"/>
      <c r="O113" s="89"/>
      <c r="P113" s="89"/>
      <c r="Q113" s="89"/>
      <c r="R113" s="89"/>
      <c r="S113" s="89"/>
      <c r="T113" s="89"/>
      <c r="U113" s="89"/>
      <c r="V113" s="89"/>
      <c r="W113" s="88"/>
      <c r="X113" s="89"/>
      <c r="Y113" s="89"/>
      <c r="Z113" s="89"/>
      <c r="AA113" s="89"/>
      <c r="AB113" s="89"/>
      <c r="AC113" s="89"/>
      <c r="AD113" s="89"/>
      <c r="AE113" s="89"/>
      <c r="AF113" s="89"/>
      <c r="AG113" s="89"/>
      <c r="AH113" s="89"/>
    </row>
    <row r="114" spans="12:34" s="85" customFormat="1" x14ac:dyDescent="0.25">
      <c r="L114" s="89"/>
      <c r="M114" s="89"/>
      <c r="N114" s="89"/>
      <c r="O114" s="89"/>
      <c r="P114" s="89"/>
      <c r="Q114" s="89"/>
      <c r="R114" s="89"/>
      <c r="S114" s="89"/>
      <c r="T114" s="89"/>
      <c r="U114" s="89"/>
      <c r="V114" s="89"/>
      <c r="W114" s="88"/>
      <c r="X114" s="89"/>
      <c r="Y114" s="89"/>
      <c r="Z114" s="89"/>
      <c r="AA114" s="89"/>
      <c r="AB114" s="89"/>
      <c r="AC114" s="89"/>
      <c r="AD114" s="89"/>
      <c r="AE114" s="89"/>
      <c r="AF114" s="89"/>
      <c r="AG114" s="89"/>
      <c r="AH114" s="89"/>
    </row>
    <row r="115" spans="12:34" s="85" customFormat="1" x14ac:dyDescent="0.25">
      <c r="L115" s="89"/>
      <c r="M115" s="89"/>
      <c r="N115" s="89"/>
      <c r="O115" s="89"/>
      <c r="P115" s="89"/>
      <c r="Q115" s="89"/>
      <c r="R115" s="89"/>
      <c r="S115" s="89"/>
      <c r="T115" s="89"/>
      <c r="U115" s="89"/>
      <c r="V115" s="89"/>
      <c r="W115" s="88"/>
      <c r="X115" s="89"/>
      <c r="Y115" s="89"/>
      <c r="Z115" s="89"/>
      <c r="AA115" s="89"/>
      <c r="AB115" s="89"/>
      <c r="AC115" s="89"/>
      <c r="AD115" s="89"/>
      <c r="AE115" s="89"/>
      <c r="AF115" s="89"/>
      <c r="AG115" s="89"/>
      <c r="AH115" s="89"/>
    </row>
    <row r="116" spans="12:34" s="85" customFormat="1" x14ac:dyDescent="0.25">
      <c r="L116" s="89"/>
      <c r="M116" s="89"/>
      <c r="N116" s="89"/>
      <c r="O116" s="89"/>
      <c r="P116" s="89"/>
      <c r="Q116" s="89"/>
      <c r="R116" s="89"/>
      <c r="S116" s="89"/>
      <c r="T116" s="89"/>
      <c r="U116" s="89"/>
      <c r="V116" s="89"/>
      <c r="W116" s="88"/>
      <c r="X116" s="89"/>
      <c r="Y116" s="89"/>
      <c r="Z116" s="89"/>
      <c r="AA116" s="89"/>
      <c r="AB116" s="89"/>
      <c r="AC116" s="89"/>
      <c r="AD116" s="89"/>
      <c r="AE116" s="89"/>
      <c r="AF116" s="89"/>
      <c r="AG116" s="89"/>
      <c r="AH116" s="89"/>
    </row>
    <row r="117" spans="12:34" s="85" customFormat="1" x14ac:dyDescent="0.25">
      <c r="L117" s="89"/>
      <c r="M117" s="89"/>
      <c r="N117" s="89"/>
      <c r="O117" s="89"/>
      <c r="P117" s="89"/>
      <c r="Q117" s="89"/>
      <c r="R117" s="89"/>
      <c r="S117" s="89"/>
      <c r="T117" s="89"/>
      <c r="U117" s="89"/>
      <c r="V117" s="89"/>
      <c r="W117" s="88"/>
      <c r="X117" s="89"/>
      <c r="Y117" s="89"/>
      <c r="Z117" s="89"/>
      <c r="AA117" s="89"/>
      <c r="AB117" s="89"/>
      <c r="AC117" s="89"/>
      <c r="AD117" s="89"/>
      <c r="AE117" s="89"/>
      <c r="AF117" s="89"/>
      <c r="AG117" s="89"/>
      <c r="AH117" s="89"/>
    </row>
    <row r="118" spans="12:34" s="85" customFormat="1" x14ac:dyDescent="0.25">
      <c r="L118" s="89"/>
      <c r="M118" s="89"/>
      <c r="N118" s="89"/>
      <c r="O118" s="89"/>
      <c r="P118" s="89"/>
      <c r="Q118" s="89"/>
      <c r="R118" s="89"/>
      <c r="S118" s="89"/>
      <c r="T118" s="89"/>
      <c r="U118" s="89"/>
      <c r="V118" s="89"/>
      <c r="W118" s="88"/>
      <c r="X118" s="89"/>
      <c r="Y118" s="89"/>
      <c r="Z118" s="89"/>
      <c r="AA118" s="89"/>
      <c r="AB118" s="89"/>
      <c r="AC118" s="89"/>
      <c r="AD118" s="89"/>
      <c r="AE118" s="89"/>
      <c r="AF118" s="89"/>
      <c r="AG118" s="89"/>
      <c r="AH118" s="89"/>
    </row>
    <row r="119" spans="12:34" s="85" customFormat="1" x14ac:dyDescent="0.25">
      <c r="L119" s="89"/>
      <c r="M119" s="89"/>
      <c r="N119" s="89"/>
      <c r="O119" s="89"/>
      <c r="P119" s="89"/>
      <c r="Q119" s="89"/>
      <c r="R119" s="89"/>
      <c r="S119" s="89"/>
      <c r="T119" s="89"/>
      <c r="U119" s="89"/>
      <c r="V119" s="89"/>
      <c r="W119" s="88"/>
      <c r="X119" s="89"/>
      <c r="Y119" s="89"/>
      <c r="Z119" s="89"/>
      <c r="AA119" s="89"/>
      <c r="AB119" s="89"/>
      <c r="AC119" s="89"/>
      <c r="AD119" s="89"/>
      <c r="AE119" s="89"/>
      <c r="AF119" s="89"/>
      <c r="AG119" s="89"/>
      <c r="AH119" s="89"/>
    </row>
    <row r="120" spans="12:34" s="85" customFormat="1" x14ac:dyDescent="0.25">
      <c r="L120" s="89"/>
      <c r="M120" s="89"/>
      <c r="N120" s="89"/>
      <c r="O120" s="89"/>
      <c r="P120" s="89"/>
      <c r="Q120" s="89"/>
      <c r="R120" s="89"/>
      <c r="S120" s="89"/>
      <c r="T120" s="89"/>
      <c r="U120" s="89"/>
      <c r="V120" s="89"/>
      <c r="W120" s="88"/>
      <c r="X120" s="89"/>
      <c r="Y120" s="89"/>
      <c r="Z120" s="89"/>
      <c r="AA120" s="89"/>
      <c r="AB120" s="89"/>
      <c r="AC120" s="89"/>
      <c r="AD120" s="89"/>
      <c r="AE120" s="89"/>
      <c r="AF120" s="89"/>
      <c r="AG120" s="89"/>
      <c r="AH120" s="89"/>
    </row>
    <row r="121" spans="12:34" s="85" customFormat="1" x14ac:dyDescent="0.25">
      <c r="L121" s="89"/>
      <c r="M121" s="89"/>
      <c r="N121" s="89"/>
      <c r="O121" s="89"/>
      <c r="P121" s="89"/>
      <c r="Q121" s="89"/>
      <c r="R121" s="89"/>
      <c r="S121" s="89"/>
      <c r="T121" s="89"/>
      <c r="U121" s="89"/>
      <c r="V121" s="89"/>
      <c r="W121" s="88"/>
      <c r="X121" s="89"/>
      <c r="Y121" s="89"/>
      <c r="Z121" s="89"/>
      <c r="AA121" s="89"/>
      <c r="AB121" s="89"/>
      <c r="AC121" s="89"/>
      <c r="AD121" s="89"/>
      <c r="AE121" s="89"/>
      <c r="AF121" s="89"/>
      <c r="AG121" s="89"/>
      <c r="AH121" s="89"/>
    </row>
    <row r="122" spans="12:34" s="85" customFormat="1" x14ac:dyDescent="0.25">
      <c r="L122" s="89"/>
      <c r="M122" s="89"/>
      <c r="N122" s="89"/>
      <c r="O122" s="89"/>
      <c r="P122" s="89"/>
      <c r="Q122" s="89"/>
      <c r="R122" s="89"/>
      <c r="S122" s="89"/>
      <c r="T122" s="89"/>
      <c r="U122" s="89"/>
      <c r="V122" s="89"/>
      <c r="W122" s="88"/>
      <c r="X122" s="89"/>
      <c r="Y122" s="89"/>
      <c r="Z122" s="89"/>
      <c r="AA122" s="89"/>
      <c r="AB122" s="89"/>
      <c r="AC122" s="89"/>
      <c r="AD122" s="89"/>
      <c r="AE122" s="89"/>
      <c r="AF122" s="89"/>
      <c r="AG122" s="89"/>
      <c r="AH122" s="89"/>
    </row>
    <row r="123" spans="12:34" s="85" customFormat="1" x14ac:dyDescent="0.25">
      <c r="L123" s="89"/>
      <c r="M123" s="89"/>
      <c r="N123" s="89"/>
      <c r="O123" s="89"/>
      <c r="P123" s="89"/>
      <c r="Q123" s="89"/>
      <c r="R123" s="89"/>
      <c r="S123" s="89"/>
      <c r="T123" s="89"/>
      <c r="U123" s="89"/>
      <c r="V123" s="89"/>
      <c r="W123" s="88"/>
      <c r="X123" s="89"/>
      <c r="Y123" s="89"/>
      <c r="Z123" s="89"/>
      <c r="AA123" s="89"/>
      <c r="AB123" s="89"/>
      <c r="AC123" s="89"/>
      <c r="AD123" s="89"/>
      <c r="AE123" s="89"/>
      <c r="AF123" s="89"/>
      <c r="AG123" s="89"/>
      <c r="AH123" s="89"/>
    </row>
    <row r="124" spans="12:34" s="85" customFormat="1" x14ac:dyDescent="0.25">
      <c r="L124" s="89"/>
      <c r="M124" s="89"/>
      <c r="N124" s="89"/>
      <c r="O124" s="89"/>
      <c r="P124" s="89"/>
      <c r="Q124" s="89"/>
      <c r="R124" s="89"/>
      <c r="S124" s="89"/>
      <c r="T124" s="89"/>
      <c r="U124" s="89"/>
      <c r="V124" s="89"/>
      <c r="W124" s="88"/>
      <c r="X124" s="89"/>
      <c r="Y124" s="89"/>
      <c r="Z124" s="89"/>
      <c r="AA124" s="89"/>
      <c r="AB124" s="89"/>
      <c r="AC124" s="89"/>
      <c r="AD124" s="89"/>
      <c r="AE124" s="89"/>
      <c r="AF124" s="89"/>
      <c r="AG124" s="89"/>
      <c r="AH124" s="89"/>
    </row>
    <row r="125" spans="12:34" s="85" customFormat="1" x14ac:dyDescent="0.25">
      <c r="L125" s="89"/>
      <c r="M125" s="89"/>
      <c r="N125" s="89"/>
      <c r="O125" s="89"/>
      <c r="P125" s="89"/>
      <c r="Q125" s="89"/>
      <c r="R125" s="89"/>
      <c r="S125" s="89"/>
      <c r="T125" s="89"/>
      <c r="U125" s="89"/>
      <c r="V125" s="89"/>
      <c r="W125" s="88"/>
      <c r="X125" s="89"/>
      <c r="Y125" s="89"/>
      <c r="Z125" s="89"/>
      <c r="AA125" s="89"/>
      <c r="AB125" s="89"/>
      <c r="AC125" s="89"/>
      <c r="AD125" s="89"/>
      <c r="AE125" s="89"/>
      <c r="AF125" s="89"/>
      <c r="AG125" s="89"/>
      <c r="AH125" s="89"/>
    </row>
    <row r="126" spans="12:34" s="85" customFormat="1" x14ac:dyDescent="0.25">
      <c r="L126" s="89"/>
      <c r="M126" s="89"/>
      <c r="N126" s="89"/>
      <c r="O126" s="89"/>
      <c r="P126" s="89"/>
      <c r="Q126" s="89"/>
      <c r="R126" s="89"/>
      <c r="S126" s="89"/>
      <c r="T126" s="89"/>
      <c r="U126" s="89"/>
      <c r="V126" s="89"/>
      <c r="W126" s="88"/>
      <c r="X126" s="89"/>
      <c r="Y126" s="89"/>
      <c r="Z126" s="89"/>
      <c r="AA126" s="89"/>
      <c r="AB126" s="89"/>
      <c r="AC126" s="89"/>
      <c r="AD126" s="89"/>
      <c r="AE126" s="89"/>
      <c r="AF126" s="89"/>
      <c r="AG126" s="89"/>
      <c r="AH126" s="89"/>
    </row>
    <row r="127" spans="12:34" s="85" customFormat="1" x14ac:dyDescent="0.25">
      <c r="L127" s="89"/>
      <c r="M127" s="89"/>
      <c r="N127" s="89"/>
      <c r="O127" s="89"/>
      <c r="P127" s="89"/>
      <c r="Q127" s="89"/>
      <c r="R127" s="89"/>
      <c r="S127" s="89"/>
      <c r="T127" s="89"/>
      <c r="U127" s="89"/>
      <c r="V127" s="89"/>
      <c r="W127" s="88"/>
      <c r="X127" s="89"/>
      <c r="Y127" s="89"/>
      <c r="Z127" s="89"/>
      <c r="AA127" s="89"/>
      <c r="AB127" s="89"/>
      <c r="AC127" s="89"/>
      <c r="AD127" s="89"/>
      <c r="AE127" s="89"/>
      <c r="AF127" s="89"/>
      <c r="AG127" s="89"/>
      <c r="AH127" s="89"/>
    </row>
    <row r="128" spans="12:34" s="85" customFormat="1" x14ac:dyDescent="0.25">
      <c r="L128" s="89"/>
      <c r="M128" s="89"/>
      <c r="N128" s="89"/>
      <c r="O128" s="89"/>
      <c r="P128" s="89"/>
      <c r="Q128" s="89"/>
      <c r="R128" s="89"/>
      <c r="S128" s="89"/>
      <c r="T128" s="89"/>
      <c r="U128" s="89"/>
      <c r="V128" s="89"/>
      <c r="W128" s="88"/>
      <c r="X128" s="89"/>
      <c r="Y128" s="89"/>
      <c r="Z128" s="89"/>
      <c r="AA128" s="89"/>
      <c r="AB128" s="89"/>
      <c r="AC128" s="89"/>
      <c r="AD128" s="89"/>
      <c r="AE128" s="89"/>
      <c r="AF128" s="89"/>
      <c r="AG128" s="89"/>
      <c r="AH128" s="89"/>
    </row>
    <row r="129" spans="12:34" s="85" customFormat="1" x14ac:dyDescent="0.25">
      <c r="L129" s="89"/>
      <c r="M129" s="89"/>
      <c r="N129" s="89"/>
      <c r="O129" s="89"/>
      <c r="P129" s="89"/>
      <c r="Q129" s="89"/>
      <c r="R129" s="89"/>
      <c r="S129" s="89"/>
      <c r="T129" s="89"/>
      <c r="U129" s="89"/>
      <c r="V129" s="89"/>
      <c r="W129" s="88"/>
      <c r="X129" s="89"/>
      <c r="Y129" s="89"/>
      <c r="Z129" s="89"/>
      <c r="AA129" s="89"/>
      <c r="AB129" s="89"/>
      <c r="AC129" s="89"/>
      <c r="AD129" s="89"/>
      <c r="AE129" s="89"/>
      <c r="AF129" s="89"/>
      <c r="AG129" s="89"/>
      <c r="AH129" s="89"/>
    </row>
    <row r="130" spans="12:34" s="85" customFormat="1" x14ac:dyDescent="0.25">
      <c r="L130" s="89"/>
      <c r="M130" s="89"/>
      <c r="N130" s="89"/>
      <c r="O130" s="89"/>
      <c r="P130" s="89"/>
      <c r="Q130" s="89"/>
      <c r="R130" s="89"/>
      <c r="S130" s="89"/>
      <c r="T130" s="89"/>
      <c r="U130" s="89"/>
      <c r="V130" s="89"/>
      <c r="W130" s="88"/>
      <c r="X130" s="89"/>
      <c r="Y130" s="89"/>
      <c r="Z130" s="89"/>
      <c r="AA130" s="89"/>
      <c r="AB130" s="89"/>
      <c r="AC130" s="89"/>
      <c r="AD130" s="89"/>
      <c r="AE130" s="89"/>
      <c r="AF130" s="89"/>
      <c r="AG130" s="89"/>
      <c r="AH130" s="89"/>
    </row>
    <row r="131" spans="12:34" s="85" customFormat="1" x14ac:dyDescent="0.25">
      <c r="L131" s="89"/>
      <c r="M131" s="89"/>
      <c r="N131" s="89"/>
      <c r="O131" s="89"/>
      <c r="P131" s="89"/>
      <c r="Q131" s="89"/>
      <c r="R131" s="89"/>
      <c r="S131" s="89"/>
      <c r="T131" s="89"/>
      <c r="U131" s="89"/>
      <c r="V131" s="89"/>
      <c r="W131" s="88"/>
      <c r="X131" s="89"/>
      <c r="Y131" s="89"/>
      <c r="Z131" s="89"/>
      <c r="AA131" s="89"/>
      <c r="AB131" s="89"/>
      <c r="AC131" s="89"/>
      <c r="AD131" s="89"/>
      <c r="AE131" s="89"/>
      <c r="AF131" s="89"/>
      <c r="AG131" s="89"/>
      <c r="AH131" s="89"/>
    </row>
  </sheetData>
  <sheetProtection algorithmName="SHA-512" hashValue="4Hicgp3X/dNzfmT9EEzZzY9hR2UZxGM64/O6kJQHFDtQAEqzbBpcv7mVPh894IvbvlzGNmh+eyMOIqVzpOdLPQ==" saltValue="Jj4B8LMU/oHh0SyHKfYjyw==" spinCount="100000" sheet="1" objects="1" scenarios="1" selectLockedCells="1"/>
  <printOptions horizontalCentered="1" verticalCentered="1"/>
  <pageMargins left="0" right="0" top="0" bottom="0" header="0" footer="0"/>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Z131"/>
  <sheetViews>
    <sheetView zoomScale="50" zoomScaleNormal="50" zoomScaleSheetLayoutView="52" zoomScalePageLayoutView="28" workbookViewId="0">
      <selection activeCell="X9" sqref="X9"/>
    </sheetView>
  </sheetViews>
  <sheetFormatPr defaultColWidth="21.140625" defaultRowHeight="15" x14ac:dyDescent="0.25"/>
  <cols>
    <col min="1" max="10" width="24.7109375" style="87" customWidth="1"/>
    <col min="11" max="11" width="21.28515625" style="87" customWidth="1"/>
    <col min="12" max="12" width="9.42578125" style="89" customWidth="1"/>
    <col min="13" max="20" width="21.140625" style="89" hidden="1" customWidth="1"/>
    <col min="21" max="22" width="21.140625" style="89" customWidth="1"/>
    <col min="23" max="23" width="21.140625" style="88" customWidth="1"/>
    <col min="24" max="34" width="21.140625" style="89" customWidth="1"/>
    <col min="35" max="35" width="21.140625" style="85" customWidth="1"/>
    <col min="36" max="16384" width="21.140625" style="87"/>
  </cols>
  <sheetData>
    <row r="1" spans="1:52" s="86" customFormat="1" ht="24" customHeight="1" x14ac:dyDescent="0.25">
      <c r="A1" s="2"/>
      <c r="B1" s="2"/>
      <c r="C1" s="2"/>
      <c r="D1" s="2"/>
      <c r="E1" s="2"/>
      <c r="F1" s="2"/>
      <c r="G1" s="2"/>
      <c r="H1" s="2"/>
      <c r="I1" s="2"/>
      <c r="J1" s="2"/>
      <c r="K1" s="2"/>
      <c r="L1" s="148"/>
      <c r="M1" s="89" t="s">
        <v>298</v>
      </c>
      <c r="N1" s="89">
        <f>'Flow Rate Charts'!M35</f>
        <v>4</v>
      </c>
      <c r="O1" s="89"/>
      <c r="P1" s="89"/>
      <c r="Q1" s="89"/>
      <c r="R1" s="89"/>
      <c r="S1" s="89"/>
      <c r="T1" s="89"/>
      <c r="U1" s="89"/>
      <c r="V1" s="89"/>
      <c r="W1" s="88"/>
      <c r="X1" s="89"/>
      <c r="Y1" s="89"/>
      <c r="Z1" s="89"/>
      <c r="AA1" s="89"/>
      <c r="AB1" s="89"/>
      <c r="AC1" s="89"/>
      <c r="AD1" s="89"/>
      <c r="AE1" s="89"/>
      <c r="AF1" s="89"/>
      <c r="AG1" s="89"/>
      <c r="AH1" s="89"/>
      <c r="AI1" s="85"/>
      <c r="AJ1" s="85"/>
      <c r="AK1" s="85"/>
      <c r="AL1" s="85"/>
      <c r="AM1" s="85"/>
      <c r="AN1" s="85"/>
      <c r="AO1" s="85"/>
      <c r="AP1" s="85"/>
      <c r="AQ1" s="85"/>
      <c r="AR1" s="85"/>
      <c r="AS1" s="85"/>
      <c r="AT1" s="85"/>
      <c r="AU1" s="85"/>
      <c r="AV1" s="85"/>
      <c r="AW1" s="85"/>
      <c r="AX1" s="85"/>
      <c r="AY1" s="85"/>
      <c r="AZ1" s="85"/>
    </row>
    <row r="2" spans="1:52" s="86" customFormat="1" ht="24" customHeight="1" x14ac:dyDescent="0.25">
      <c r="A2" s="2"/>
      <c r="B2" s="2"/>
      <c r="C2" s="2"/>
      <c r="D2" s="2"/>
      <c r="E2" s="2"/>
      <c r="F2" s="2"/>
      <c r="G2" s="2"/>
      <c r="H2" s="2"/>
      <c r="I2" s="2"/>
      <c r="J2" s="2"/>
      <c r="K2" s="2"/>
      <c r="L2" s="148"/>
      <c r="M2" s="89" t="s">
        <v>290</v>
      </c>
      <c r="N2" s="89" t="str">
        <f>'Flow Rate Charts'!M37</f>
        <v xml:space="preserve"> </v>
      </c>
      <c r="O2" s="137" t="s">
        <v>283</v>
      </c>
      <c r="P2" s="89" t="str">
        <f>IF('2-Sizing'!G18=0, " -- ", IF(N1=4, " ",CONCATENATE(N2,O2,)))</f>
        <v xml:space="preserve"> -- </v>
      </c>
      <c r="Q2" s="89" t="s">
        <v>295</v>
      </c>
      <c r="R2" s="318" t="str">
        <f>IF('Flow Rate Charts'!M26=7,CONCATENATE(P2, " x ",P5)," ")</f>
        <v xml:space="preserve"> </v>
      </c>
      <c r="S2" s="89" t="s">
        <v>316</v>
      </c>
      <c r="T2" s="89" t="str">
        <f>IF('Flow Rate Charts'!M26=7,CONCATENATE(R2, " ", S2)," ")</f>
        <v xml:space="preserve"> </v>
      </c>
      <c r="U2" s="89"/>
      <c r="V2" s="89"/>
      <c r="W2" s="88"/>
      <c r="X2" s="89"/>
      <c r="Y2" s="89"/>
      <c r="Z2" s="89"/>
      <c r="AA2" s="89"/>
      <c r="AB2" s="89"/>
      <c r="AC2" s="89"/>
      <c r="AD2" s="89"/>
      <c r="AE2" s="89"/>
      <c r="AF2" s="89"/>
      <c r="AG2" s="89"/>
      <c r="AH2" s="89"/>
      <c r="AI2" s="85"/>
      <c r="AJ2" s="85"/>
      <c r="AK2" s="85"/>
      <c r="AL2" s="85"/>
      <c r="AM2" s="85"/>
      <c r="AN2" s="85"/>
      <c r="AO2" s="85"/>
      <c r="AP2" s="85"/>
      <c r="AQ2" s="85"/>
      <c r="AR2" s="85"/>
      <c r="AS2" s="85"/>
      <c r="AT2" s="85"/>
      <c r="AU2" s="85"/>
      <c r="AV2" s="85"/>
      <c r="AW2" s="85"/>
      <c r="AX2" s="85"/>
      <c r="AY2" s="85"/>
      <c r="AZ2" s="85"/>
    </row>
    <row r="3" spans="1:52" s="86" customFormat="1" ht="24" customHeight="1" x14ac:dyDescent="0.25">
      <c r="A3" s="2"/>
      <c r="B3" s="2"/>
      <c r="C3" s="2"/>
      <c r="D3" s="2"/>
      <c r="E3" s="2"/>
      <c r="F3" s="2"/>
      <c r="G3" s="2"/>
      <c r="H3" s="2"/>
      <c r="I3" s="2"/>
      <c r="J3" s="2"/>
      <c r="K3" s="2"/>
      <c r="L3" s="148"/>
      <c r="M3" s="89" t="s">
        <v>289</v>
      </c>
      <c r="N3" s="89">
        <f>'2-Sizing'!$R$17</f>
        <v>1</v>
      </c>
      <c r="O3" s="137" t="s">
        <v>265</v>
      </c>
      <c r="P3" s="89" t="str">
        <f>IF('2-Sizing'!G18=0, " -- ", CONCATENATE(N3,O3,))</f>
        <v xml:space="preserve"> -- </v>
      </c>
      <c r="Q3" s="89"/>
      <c r="R3" s="89"/>
      <c r="S3" s="89"/>
      <c r="T3" s="89"/>
      <c r="U3" s="89"/>
      <c r="V3" s="89"/>
      <c r="W3" s="88"/>
      <c r="X3" s="89"/>
      <c r="Y3" s="89"/>
      <c r="Z3" s="89"/>
      <c r="AA3" s="89"/>
      <c r="AB3" s="89"/>
      <c r="AC3" s="89"/>
      <c r="AD3" s="89"/>
      <c r="AE3" s="89"/>
      <c r="AF3" s="89"/>
      <c r="AG3" s="89"/>
      <c r="AH3" s="89"/>
      <c r="AI3" s="85"/>
      <c r="AJ3" s="85"/>
      <c r="AK3" s="85"/>
      <c r="AL3" s="85"/>
      <c r="AM3" s="85"/>
      <c r="AN3" s="85"/>
      <c r="AO3" s="85"/>
      <c r="AP3" s="85"/>
      <c r="AQ3" s="85"/>
      <c r="AR3" s="85"/>
      <c r="AS3" s="85"/>
      <c r="AT3" s="85"/>
      <c r="AU3" s="85"/>
      <c r="AV3" s="85"/>
      <c r="AW3" s="85"/>
      <c r="AX3" s="85"/>
      <c r="AY3" s="85"/>
      <c r="AZ3" s="85"/>
    </row>
    <row r="4" spans="1:52" s="86" customFormat="1" ht="24" customHeight="1" x14ac:dyDescent="0.25">
      <c r="A4" s="2"/>
      <c r="B4" s="2"/>
      <c r="C4" s="2"/>
      <c r="D4" s="2"/>
      <c r="E4" s="2"/>
      <c r="F4" s="2"/>
      <c r="G4" s="2"/>
      <c r="H4" s="2"/>
      <c r="I4" s="2"/>
      <c r="J4" s="2"/>
      <c r="K4" s="2"/>
      <c r="L4" s="148"/>
      <c r="M4" s="89" t="s">
        <v>282</v>
      </c>
      <c r="N4" s="89">
        <v>29.5</v>
      </c>
      <c r="O4" s="137" t="s">
        <v>283</v>
      </c>
      <c r="P4" s="318" t="str">
        <f>IF('2-Sizing'!G18=0, " -- ", IF('Flow Rate Charts'!M26=7,CONCATENATE(N4,O4,)," "))</f>
        <v xml:space="preserve"> -- </v>
      </c>
      <c r="Q4" s="89"/>
      <c r="R4" s="89"/>
      <c r="S4" s="89"/>
      <c r="T4" s="89"/>
      <c r="U4" s="89"/>
      <c r="V4" s="89"/>
      <c r="W4" s="88"/>
      <c r="X4" s="89"/>
      <c r="Y4" s="89"/>
      <c r="Z4" s="89"/>
      <c r="AA4" s="89"/>
      <c r="AB4" s="89"/>
      <c r="AC4" s="89"/>
      <c r="AD4" s="89"/>
      <c r="AE4" s="89"/>
      <c r="AF4" s="89"/>
      <c r="AG4" s="89"/>
      <c r="AH4" s="89"/>
      <c r="AI4" s="85"/>
      <c r="AJ4" s="85"/>
      <c r="AK4" s="85"/>
      <c r="AL4" s="85"/>
      <c r="AM4" s="85"/>
      <c r="AN4" s="85"/>
      <c r="AO4" s="85"/>
      <c r="AP4" s="85"/>
      <c r="AQ4" s="85"/>
      <c r="AR4" s="85"/>
      <c r="AS4" s="85"/>
      <c r="AT4" s="85"/>
      <c r="AU4" s="85"/>
      <c r="AV4" s="85"/>
      <c r="AW4" s="85"/>
      <c r="AX4" s="85"/>
      <c r="AY4" s="85"/>
      <c r="AZ4" s="85"/>
    </row>
    <row r="5" spans="1:52" s="86" customFormat="1" ht="24" customHeight="1" x14ac:dyDescent="0.25">
      <c r="A5" s="2"/>
      <c r="B5" s="2"/>
      <c r="C5" s="2"/>
      <c r="D5" s="2"/>
      <c r="E5" s="2"/>
      <c r="F5" s="2"/>
      <c r="G5" s="2"/>
      <c r="H5" s="2"/>
      <c r="I5" s="2"/>
      <c r="J5" s="2"/>
      <c r="K5" s="2"/>
      <c r="L5" s="148"/>
      <c r="M5" s="136" t="s">
        <v>288</v>
      </c>
      <c r="N5" s="136">
        <f>'Flow Rate Charts'!M36</f>
        <v>48</v>
      </c>
      <c r="O5" s="137" t="str">
        <f>IF(N5=48, "-in Round", "-in")</f>
        <v>-in Round</v>
      </c>
      <c r="P5" s="89" t="str">
        <f>IF('2-Sizing'!G18=0, " -- ", CONCATENATE(N5,O5,))</f>
        <v xml:space="preserve"> -- </v>
      </c>
      <c r="Q5" s="89"/>
      <c r="R5" s="89"/>
      <c r="S5" s="89"/>
      <c r="T5" s="89"/>
      <c r="U5" s="89"/>
      <c r="V5" s="89"/>
      <c r="W5" s="88"/>
      <c r="X5" s="89"/>
      <c r="Y5" s="89"/>
      <c r="Z5" s="89"/>
      <c r="AA5" s="89"/>
      <c r="AB5" s="89"/>
      <c r="AC5" s="89"/>
      <c r="AD5" s="89"/>
      <c r="AE5" s="89"/>
      <c r="AF5" s="89"/>
      <c r="AG5" s="89"/>
      <c r="AH5" s="89"/>
      <c r="AI5" s="85"/>
      <c r="AJ5" s="85"/>
      <c r="AK5" s="85"/>
      <c r="AL5" s="85"/>
      <c r="AM5" s="85"/>
      <c r="AN5" s="85"/>
      <c r="AO5" s="85"/>
      <c r="AP5" s="85"/>
      <c r="AQ5" s="85"/>
      <c r="AR5" s="85"/>
      <c r="AS5" s="85"/>
      <c r="AT5" s="85"/>
      <c r="AU5" s="85"/>
      <c r="AV5" s="85"/>
      <c r="AW5" s="85"/>
      <c r="AX5" s="85"/>
      <c r="AY5" s="85"/>
      <c r="AZ5" s="85"/>
    </row>
    <row r="6" spans="1:52" s="86" customFormat="1" ht="24" customHeight="1" x14ac:dyDescent="0.25">
      <c r="A6" s="2"/>
      <c r="B6" s="2"/>
      <c r="C6" s="2"/>
      <c r="D6" s="2"/>
      <c r="E6" s="2"/>
      <c r="F6" s="2"/>
      <c r="G6" s="2"/>
      <c r="H6" s="2"/>
      <c r="I6" s="2"/>
      <c r="J6" s="2"/>
      <c r="K6" s="2"/>
      <c r="L6" s="148"/>
      <c r="M6" s="136" t="s">
        <v>293</v>
      </c>
      <c r="N6" s="136">
        <f>VLOOKUP($N$1,Performance!M13:Y21,11)</f>
        <v>15</v>
      </c>
      <c r="O6" s="137" t="s">
        <v>283</v>
      </c>
      <c r="P6" s="89" t="str">
        <f>IF('2-Sizing'!G18=0, " -- ",CONCATENATE(N6,O6))</f>
        <v xml:space="preserve"> -- </v>
      </c>
      <c r="Q6" s="89"/>
      <c r="R6" s="89"/>
      <c r="S6" s="89"/>
      <c r="T6" s="89"/>
      <c r="U6" s="89"/>
      <c r="V6" s="89"/>
      <c r="W6" s="88"/>
      <c r="X6" s="89"/>
      <c r="Y6" s="89"/>
      <c r="Z6" s="89"/>
      <c r="AA6" s="89"/>
      <c r="AB6" s="89"/>
      <c r="AC6" s="89"/>
      <c r="AD6" s="89"/>
      <c r="AE6" s="89"/>
      <c r="AF6" s="89"/>
      <c r="AG6" s="89"/>
      <c r="AH6" s="89"/>
      <c r="AI6" s="85"/>
      <c r="AJ6" s="85"/>
      <c r="AK6" s="85"/>
      <c r="AL6" s="85"/>
      <c r="AM6" s="85"/>
      <c r="AN6" s="85"/>
      <c r="AO6" s="85"/>
      <c r="AP6" s="85"/>
      <c r="AQ6" s="85"/>
      <c r="AR6" s="85"/>
      <c r="AS6" s="85"/>
      <c r="AT6" s="85"/>
      <c r="AU6" s="85"/>
      <c r="AV6" s="85"/>
      <c r="AW6" s="85"/>
      <c r="AX6" s="85"/>
      <c r="AY6" s="85"/>
      <c r="AZ6" s="85"/>
    </row>
    <row r="7" spans="1:52" s="86" customFormat="1" ht="24" customHeight="1" x14ac:dyDescent="0.25">
      <c r="A7" s="2"/>
      <c r="B7" s="2"/>
      <c r="C7" s="2"/>
      <c r="D7" s="2"/>
      <c r="E7" s="2"/>
      <c r="F7" s="2"/>
      <c r="G7" s="2"/>
      <c r="H7" s="2"/>
      <c r="I7" s="2"/>
      <c r="J7" s="2"/>
      <c r="K7" s="2"/>
      <c r="L7" s="148"/>
      <c r="M7" s="136" t="s">
        <v>319</v>
      </c>
      <c r="N7" s="327">
        <f>'3a-DWG 1-6 Modules (Online)'!$N$7</f>
        <v>5.6000000000000001E-2</v>
      </c>
      <c r="O7" s="137" t="str">
        <f>'3a-DWG 1-6 Modules (Online)'!O7</f>
        <v>-cfs</v>
      </c>
      <c r="P7" s="318" t="str">
        <f>IF('2-Sizing'!G18=0, " -- ",IF('Flow Rate Charts'!M26=7,CONCATENATE(N7,O7)," "))</f>
        <v xml:space="preserve"> -- </v>
      </c>
      <c r="Q7" s="89" t="s">
        <v>320</v>
      </c>
      <c r="R7" s="89">
        <f>7*N7</f>
        <v>0.39200000000000002</v>
      </c>
      <c r="S7" s="318" t="str">
        <f>IF('Flow Rate Charts'!M26=7,CONCATENATE(R7,O7)," ")</f>
        <v xml:space="preserve"> </v>
      </c>
      <c r="T7" s="89"/>
      <c r="U7" s="89"/>
      <c r="V7" s="89"/>
      <c r="W7" s="88"/>
      <c r="X7" s="89"/>
      <c r="Y7" s="89"/>
      <c r="Z7" s="89"/>
      <c r="AA7" s="89"/>
      <c r="AB7" s="89"/>
      <c r="AC7" s="89"/>
      <c r="AD7" s="89"/>
      <c r="AE7" s="89"/>
      <c r="AF7" s="89"/>
      <c r="AG7" s="89"/>
      <c r="AH7" s="89"/>
      <c r="AI7" s="85"/>
      <c r="AJ7" s="85"/>
      <c r="AK7" s="85"/>
      <c r="AL7" s="85"/>
      <c r="AM7" s="85"/>
      <c r="AN7" s="85"/>
      <c r="AO7" s="85"/>
      <c r="AP7" s="85"/>
      <c r="AQ7" s="85"/>
      <c r="AR7" s="85"/>
      <c r="AS7" s="85"/>
      <c r="AT7" s="85"/>
      <c r="AU7" s="85"/>
      <c r="AV7" s="85"/>
      <c r="AW7" s="85"/>
      <c r="AX7" s="85"/>
      <c r="AY7" s="85"/>
      <c r="AZ7" s="85"/>
    </row>
    <row r="8" spans="1:52" s="86" customFormat="1" ht="24" customHeight="1" x14ac:dyDescent="0.25">
      <c r="A8" s="2"/>
      <c r="B8" s="2"/>
      <c r="C8" s="2"/>
      <c r="D8" s="2"/>
      <c r="E8" s="2"/>
      <c r="F8" s="2"/>
      <c r="G8" s="2"/>
      <c r="H8" s="2"/>
      <c r="I8" s="2"/>
      <c r="J8" s="2"/>
      <c r="K8" s="2"/>
      <c r="L8" s="148"/>
      <c r="M8" s="136" t="s">
        <v>48</v>
      </c>
      <c r="N8" s="293">
        <f>IF(N1=4,ROUNDUP('2-Sizing'!V18,0), "Varies")</f>
        <v>0</v>
      </c>
      <c r="O8" s="137" t="str">
        <f>IF(N8="Varies", " ", "-gpm")</f>
        <v>-gpm</v>
      </c>
      <c r="P8" s="318" t="str">
        <f>IF('2-Sizing'!G18=0, " -- ",IF('Flow Rate Charts'!M26=7,CONCATENATE(N8,O8)," "))</f>
        <v xml:space="preserve"> -- </v>
      </c>
      <c r="Q8" s="89"/>
      <c r="R8" s="89"/>
      <c r="S8" s="89"/>
      <c r="T8" s="89"/>
      <c r="U8" s="89"/>
      <c r="V8" s="89"/>
      <c r="W8" s="88"/>
      <c r="X8" s="89"/>
      <c r="Y8" s="89"/>
      <c r="Z8" s="89"/>
      <c r="AA8" s="89"/>
      <c r="AB8" s="89"/>
      <c r="AC8" s="89"/>
      <c r="AD8" s="89"/>
      <c r="AE8" s="89"/>
      <c r="AF8" s="89"/>
      <c r="AG8" s="89"/>
      <c r="AH8" s="89"/>
      <c r="AI8" s="85"/>
      <c r="AJ8" s="85"/>
      <c r="AK8" s="85"/>
      <c r="AL8" s="85"/>
      <c r="AM8" s="85"/>
      <c r="AN8" s="85"/>
      <c r="AO8" s="85"/>
      <c r="AP8" s="85"/>
      <c r="AQ8" s="85"/>
      <c r="AR8" s="85"/>
      <c r="AS8" s="85"/>
      <c r="AT8" s="85"/>
      <c r="AU8" s="85"/>
      <c r="AV8" s="85"/>
      <c r="AW8" s="85"/>
      <c r="AX8" s="85"/>
      <c r="AY8" s="85"/>
      <c r="AZ8" s="85"/>
    </row>
    <row r="9" spans="1:52" s="86" customFormat="1" ht="24" customHeight="1" x14ac:dyDescent="0.25">
      <c r="A9" s="2"/>
      <c r="B9" s="2"/>
      <c r="C9" s="2"/>
      <c r="D9" s="2"/>
      <c r="E9" s="2"/>
      <c r="F9" s="2"/>
      <c r="G9" s="2"/>
      <c r="H9" s="2"/>
      <c r="I9" s="2"/>
      <c r="J9" s="2"/>
      <c r="K9" s="2"/>
      <c r="L9" s="148"/>
      <c r="M9" s="136" t="s">
        <v>294</v>
      </c>
      <c r="N9" s="293">
        <f>IF('Flow Rate Charts'!M35=4,15,36)</f>
        <v>15</v>
      </c>
      <c r="O9" s="137" t="s">
        <v>283</v>
      </c>
      <c r="P9" s="316" t="str">
        <f>IF('2-Sizing'!G18=0, " -- ",IF('Flow Rate Charts'!M26=7,CONCATENATE(N9,O9)," "))</f>
        <v xml:space="preserve"> -- </v>
      </c>
      <c r="Q9" s="89"/>
      <c r="R9" s="89"/>
      <c r="S9" s="89"/>
      <c r="T9" s="89"/>
      <c r="U9" s="89"/>
      <c r="V9" s="89"/>
      <c r="W9" s="88"/>
      <c r="X9" s="89"/>
      <c r="Y9" s="89"/>
      <c r="Z9" s="89"/>
      <c r="AA9" s="89"/>
      <c r="AB9" s="89"/>
      <c r="AC9" s="89"/>
      <c r="AD9" s="89"/>
      <c r="AE9" s="89"/>
      <c r="AF9" s="89"/>
      <c r="AG9" s="89"/>
      <c r="AH9" s="89"/>
      <c r="AI9" s="85"/>
      <c r="AJ9" s="85"/>
      <c r="AK9" s="85"/>
      <c r="AL9" s="85"/>
      <c r="AM9" s="85"/>
      <c r="AN9" s="85"/>
      <c r="AO9" s="85"/>
      <c r="AP9" s="85"/>
      <c r="AQ9" s="85"/>
      <c r="AR9" s="85"/>
      <c r="AS9" s="85"/>
      <c r="AT9" s="85"/>
      <c r="AU9" s="85"/>
      <c r="AV9" s="85"/>
      <c r="AW9" s="85"/>
      <c r="AX9" s="85"/>
      <c r="AY9" s="85"/>
      <c r="AZ9" s="85"/>
    </row>
    <row r="10" spans="1:52" s="86" customFormat="1" ht="24" customHeight="1" x14ac:dyDescent="0.25">
      <c r="A10" s="2"/>
      <c r="B10" s="2"/>
      <c r="C10" s="2"/>
      <c r="D10" s="2"/>
      <c r="E10" s="2"/>
      <c r="F10" s="2"/>
      <c r="G10" s="2"/>
      <c r="H10" s="2"/>
      <c r="I10" s="2"/>
      <c r="J10" s="2"/>
      <c r="K10" s="2"/>
      <c r="L10" s="148"/>
      <c r="M10" s="136" t="s">
        <v>49</v>
      </c>
      <c r="N10" s="311">
        <f>ROUND(VLOOKUP(N1,Performance!M13:U21,9),1)</f>
        <v>16.600000000000001</v>
      </c>
      <c r="O10" s="137" t="s">
        <v>301</v>
      </c>
      <c r="P10" s="318" t="str">
        <f>IF('2-Sizing'!G18=0, " -- ",IF('Flow Rate Charts'!M26=7,CONCATENATE(N10,O10)," "))</f>
        <v xml:space="preserve"> -- </v>
      </c>
      <c r="Q10" s="89"/>
      <c r="R10" s="89"/>
      <c r="S10" s="89"/>
      <c r="T10" s="89"/>
      <c r="U10" s="89"/>
      <c r="V10" s="89"/>
      <c r="W10" s="88"/>
      <c r="X10" s="89"/>
      <c r="Y10" s="89"/>
      <c r="Z10" s="89"/>
      <c r="AA10" s="89"/>
      <c r="AB10" s="89"/>
      <c r="AC10" s="89"/>
      <c r="AD10" s="89"/>
      <c r="AE10" s="89"/>
      <c r="AF10" s="89"/>
      <c r="AG10" s="89"/>
      <c r="AH10" s="89"/>
      <c r="AI10" s="85"/>
      <c r="AJ10" s="85"/>
      <c r="AK10" s="85"/>
      <c r="AL10" s="85"/>
      <c r="AM10" s="85"/>
      <c r="AN10" s="85"/>
      <c r="AO10" s="85"/>
      <c r="AP10" s="85"/>
      <c r="AQ10" s="85"/>
      <c r="AR10" s="85"/>
      <c r="AS10" s="85"/>
      <c r="AT10" s="85"/>
      <c r="AU10" s="85"/>
      <c r="AV10" s="85"/>
      <c r="AW10" s="85"/>
      <c r="AX10" s="85"/>
      <c r="AY10" s="85"/>
      <c r="AZ10" s="85"/>
    </row>
    <row r="11" spans="1:52" s="86" customFormat="1" ht="24" customHeight="1" x14ac:dyDescent="0.25">
      <c r="A11" s="2"/>
      <c r="B11" s="2"/>
      <c r="C11" s="2"/>
      <c r="D11" s="2"/>
      <c r="E11" s="2"/>
      <c r="F11" s="2"/>
      <c r="G11" s="2"/>
      <c r="H11" s="2"/>
      <c r="I11" s="2"/>
      <c r="J11" s="2"/>
      <c r="K11" s="2"/>
      <c r="L11" s="148"/>
      <c r="M11" s="136" t="s">
        <v>299</v>
      </c>
      <c r="N11" s="139">
        <f>ROUND(VLOOKUP(N1,Performance!M13:U21,8),1)</f>
        <v>50</v>
      </c>
      <c r="O11" s="137" t="s">
        <v>300</v>
      </c>
      <c r="P11" s="318" t="str">
        <f>IF('2-Sizing'!G18=0, " -- ",IF('Flow Rate Charts'!M26=7,CONCATENATE(N11,O11)," "))</f>
        <v xml:space="preserve"> -- </v>
      </c>
      <c r="Q11" s="89"/>
      <c r="R11" s="89"/>
      <c r="S11" s="89"/>
      <c r="T11" s="89"/>
      <c r="U11" s="89"/>
      <c r="V11" s="89"/>
      <c r="W11" s="88"/>
      <c r="X11" s="89"/>
      <c r="Y11" s="89"/>
      <c r="Z11" s="89"/>
      <c r="AA11" s="89"/>
      <c r="AB11" s="89"/>
      <c r="AC11" s="89"/>
      <c r="AD11" s="89"/>
      <c r="AE11" s="89"/>
      <c r="AF11" s="89"/>
      <c r="AG11" s="89"/>
      <c r="AH11" s="89"/>
      <c r="AI11" s="85"/>
      <c r="AJ11" s="85"/>
      <c r="AK11" s="85"/>
      <c r="AL11" s="85"/>
      <c r="AM11" s="85"/>
      <c r="AN11" s="85"/>
      <c r="AO11" s="85"/>
      <c r="AP11" s="85"/>
      <c r="AQ11" s="85"/>
      <c r="AR11" s="85"/>
      <c r="AS11" s="85"/>
      <c r="AT11" s="85"/>
      <c r="AU11" s="85"/>
      <c r="AV11" s="85"/>
      <c r="AW11" s="85"/>
      <c r="AX11" s="85"/>
      <c r="AY11" s="85"/>
      <c r="AZ11" s="85"/>
    </row>
    <row r="12" spans="1:52" s="86" customFormat="1" ht="24" customHeight="1" x14ac:dyDescent="0.25">
      <c r="A12" s="2"/>
      <c r="B12" s="2"/>
      <c r="C12" s="2"/>
      <c r="D12" s="2"/>
      <c r="E12" s="2"/>
      <c r="F12" s="2"/>
      <c r="G12" s="2"/>
      <c r="H12" s="2"/>
      <c r="I12" s="2"/>
      <c r="J12" s="2"/>
      <c r="K12" s="2"/>
      <c r="L12" s="148"/>
      <c r="M12" s="136" t="s">
        <v>52</v>
      </c>
      <c r="N12" s="136">
        <v>5</v>
      </c>
      <c r="O12" s="137" t="s">
        <v>54</v>
      </c>
      <c r="P12" s="89" t="str">
        <f>IF('2-Sizing'!G18=0, " -- ",CONCATENATE("Min. ",N12,O12))</f>
        <v xml:space="preserve"> -- </v>
      </c>
      <c r="Q12" s="89" t="str">
        <f>IF('2-Sizing'!G18=0, " -- ",CONCATENATE(N12,O12))</f>
        <v xml:space="preserve"> -- </v>
      </c>
      <c r="R12" s="89"/>
      <c r="S12" s="89"/>
      <c r="T12" s="89"/>
      <c r="U12" s="89"/>
      <c r="V12" s="89"/>
      <c r="W12" s="88"/>
      <c r="X12" s="89"/>
      <c r="Y12" s="89"/>
      <c r="Z12" s="89"/>
      <c r="AA12" s="89"/>
      <c r="AB12" s="89"/>
      <c r="AC12" s="89"/>
      <c r="AD12" s="89"/>
      <c r="AE12" s="89"/>
      <c r="AF12" s="89"/>
      <c r="AG12" s="89"/>
      <c r="AH12" s="89"/>
      <c r="AI12" s="85"/>
      <c r="AJ12" s="85"/>
      <c r="AK12" s="85"/>
      <c r="AL12" s="85"/>
      <c r="AM12" s="85"/>
      <c r="AN12" s="85"/>
      <c r="AO12" s="85"/>
      <c r="AP12" s="85"/>
      <c r="AQ12" s="85"/>
      <c r="AR12" s="85"/>
      <c r="AS12" s="85"/>
      <c r="AT12" s="85"/>
      <c r="AU12" s="85"/>
      <c r="AV12" s="85"/>
      <c r="AW12" s="85"/>
      <c r="AX12" s="85"/>
      <c r="AY12" s="85"/>
      <c r="AZ12" s="85"/>
    </row>
    <row r="13" spans="1:52" s="86" customFormat="1" ht="24" customHeight="1" x14ac:dyDescent="0.25">
      <c r="A13" s="2"/>
      <c r="B13" s="2"/>
      <c r="C13" s="2"/>
      <c r="D13" s="2"/>
      <c r="E13" s="2"/>
      <c r="F13" s="2"/>
      <c r="G13" s="2"/>
      <c r="H13" s="2"/>
      <c r="I13" s="2"/>
      <c r="J13" s="2"/>
      <c r="K13" s="2"/>
      <c r="L13" s="148"/>
      <c r="M13" s="136" t="s">
        <v>53</v>
      </c>
      <c r="N13" s="136">
        <f>ROUND(VLOOKUP(N1,Performance!M13:U21,2),1)</f>
        <v>3</v>
      </c>
      <c r="O13" s="137" t="s">
        <v>54</v>
      </c>
      <c r="P13" s="89" t="str">
        <f>IF('2-Sizing'!G18=0, " -- ",CONCATENATE("Std. ",N13,O13))</f>
        <v xml:space="preserve"> -- </v>
      </c>
      <c r="Q13" s="89" t="str">
        <f>IF('2-Sizing'!G18=0, " -- ",CONCATENATE(N13,O13))</f>
        <v xml:space="preserve"> -- </v>
      </c>
      <c r="R13" s="89"/>
      <c r="S13" s="89"/>
      <c r="T13" s="89"/>
      <c r="U13" s="89"/>
      <c r="V13" s="89"/>
      <c r="W13" s="88"/>
      <c r="X13" s="89"/>
      <c r="Y13" s="89"/>
      <c r="Z13" s="89"/>
      <c r="AA13" s="89"/>
      <c r="AB13" s="89"/>
      <c r="AC13" s="89"/>
      <c r="AD13" s="89"/>
      <c r="AE13" s="89"/>
      <c r="AF13" s="89"/>
      <c r="AG13" s="89"/>
      <c r="AH13" s="89"/>
      <c r="AI13" s="85"/>
      <c r="AJ13" s="85"/>
      <c r="AK13" s="85"/>
      <c r="AL13" s="85"/>
      <c r="AM13" s="85"/>
      <c r="AN13" s="85"/>
      <c r="AO13" s="85"/>
      <c r="AP13" s="85"/>
      <c r="AQ13" s="85"/>
      <c r="AR13" s="85"/>
      <c r="AS13" s="85"/>
      <c r="AT13" s="85"/>
      <c r="AU13" s="85"/>
      <c r="AV13" s="85"/>
      <c r="AW13" s="85"/>
      <c r="AX13" s="85"/>
      <c r="AY13" s="85"/>
      <c r="AZ13" s="85"/>
    </row>
    <row r="14" spans="1:52" s="86" customFormat="1" ht="24" customHeight="1" x14ac:dyDescent="0.25">
      <c r="A14" s="2"/>
      <c r="B14" s="2"/>
      <c r="C14" s="2"/>
      <c r="D14" s="2"/>
      <c r="E14" s="2"/>
      <c r="F14" s="2"/>
      <c r="G14" s="2"/>
      <c r="H14" s="2"/>
      <c r="I14" s="2"/>
      <c r="J14" s="2"/>
      <c r="K14" s="2"/>
      <c r="L14" s="148"/>
      <c r="M14" s="136" t="s">
        <v>47</v>
      </c>
      <c r="N14" s="89">
        <f>'2-Sizing'!K20</f>
        <v>15</v>
      </c>
      <c r="O14" s="137" t="s">
        <v>283</v>
      </c>
      <c r="P14" s="318" t="str">
        <f>IF('2-Sizing'!G18=0, " -- ",IF('Flow Rate Charts'!M26=7,CONCATENATE(N14,O14)," "))</f>
        <v xml:space="preserve"> -- </v>
      </c>
      <c r="Q14" s="89"/>
      <c r="R14" s="89"/>
      <c r="S14" s="89"/>
      <c r="T14" s="89"/>
      <c r="U14" s="89"/>
      <c r="V14" s="89"/>
      <c r="W14" s="88"/>
      <c r="X14" s="89"/>
      <c r="Y14" s="89"/>
      <c r="Z14" s="89"/>
      <c r="AA14" s="89"/>
      <c r="AB14" s="89"/>
      <c r="AC14" s="89"/>
      <c r="AD14" s="89"/>
      <c r="AE14" s="89"/>
      <c r="AF14" s="89"/>
      <c r="AG14" s="89"/>
      <c r="AH14" s="89"/>
      <c r="AI14" s="85"/>
      <c r="AJ14" s="85"/>
      <c r="AK14" s="85"/>
      <c r="AL14" s="85"/>
      <c r="AM14" s="85"/>
      <c r="AN14" s="85"/>
      <c r="AO14" s="85"/>
      <c r="AP14" s="85"/>
      <c r="AQ14" s="85"/>
      <c r="AR14" s="85"/>
      <c r="AS14" s="85"/>
      <c r="AT14" s="85"/>
      <c r="AU14" s="85"/>
      <c r="AV14" s="85"/>
      <c r="AW14" s="85"/>
      <c r="AX14" s="85"/>
      <c r="AY14" s="85"/>
      <c r="AZ14" s="85"/>
    </row>
    <row r="15" spans="1:52" s="86" customFormat="1" ht="24" customHeight="1" x14ac:dyDescent="0.25">
      <c r="A15" s="2"/>
      <c r="B15" s="2"/>
      <c r="C15" s="2"/>
      <c r="D15" s="2"/>
      <c r="E15" s="2"/>
      <c r="F15" s="2"/>
      <c r="G15" s="2"/>
      <c r="H15" s="2"/>
      <c r="I15" s="2"/>
      <c r="J15" s="2"/>
      <c r="K15" s="2"/>
      <c r="L15" s="148"/>
      <c r="M15" s="136" t="s">
        <v>28</v>
      </c>
      <c r="N15" s="89" t="s">
        <v>55</v>
      </c>
      <c r="O15" s="89"/>
      <c r="P15" s="89"/>
      <c r="Q15" s="89"/>
      <c r="R15" s="89"/>
      <c r="S15" s="89"/>
      <c r="T15" s="89"/>
      <c r="U15" s="89"/>
      <c r="V15" s="89"/>
      <c r="W15" s="88"/>
      <c r="X15" s="89"/>
      <c r="Y15" s="89"/>
      <c r="Z15" s="89"/>
      <c r="AA15" s="89"/>
      <c r="AB15" s="89"/>
      <c r="AC15" s="89"/>
      <c r="AD15" s="89"/>
      <c r="AE15" s="89"/>
      <c r="AF15" s="89"/>
      <c r="AG15" s="89"/>
      <c r="AH15" s="89"/>
      <c r="AI15" s="85"/>
      <c r="AJ15" s="85"/>
      <c r="AK15" s="85"/>
      <c r="AL15" s="85"/>
      <c r="AM15" s="85"/>
      <c r="AN15" s="85"/>
      <c r="AO15" s="85"/>
      <c r="AP15" s="85"/>
      <c r="AQ15" s="85"/>
      <c r="AR15" s="85"/>
      <c r="AS15" s="85"/>
      <c r="AT15" s="85"/>
      <c r="AU15" s="85"/>
      <c r="AV15" s="85"/>
      <c r="AW15" s="85"/>
      <c r="AX15" s="85"/>
      <c r="AY15" s="85"/>
      <c r="AZ15" s="85"/>
    </row>
    <row r="16" spans="1:52" s="86" customFormat="1" ht="24" customHeight="1" x14ac:dyDescent="0.25">
      <c r="A16" s="2"/>
      <c r="B16" s="2"/>
      <c r="C16" s="2"/>
      <c r="D16" s="2"/>
      <c r="E16" s="2"/>
      <c r="F16" s="2"/>
      <c r="G16" s="2"/>
      <c r="H16" s="2"/>
      <c r="I16" s="2"/>
      <c r="J16" s="2"/>
      <c r="K16" s="2"/>
      <c r="L16" s="148"/>
      <c r="M16" s="89"/>
      <c r="N16" s="89" t="s">
        <v>344</v>
      </c>
      <c r="O16" s="89"/>
      <c r="P16" s="89"/>
      <c r="Q16" s="89"/>
      <c r="R16" s="89"/>
      <c r="S16" s="89"/>
      <c r="T16" s="89"/>
      <c r="U16" s="89"/>
      <c r="V16" s="89"/>
      <c r="W16" s="88"/>
      <c r="X16" s="89"/>
      <c r="Y16" s="89"/>
      <c r="Z16" s="89"/>
      <c r="AA16" s="89"/>
      <c r="AB16" s="89"/>
      <c r="AC16" s="89"/>
      <c r="AD16" s="89"/>
      <c r="AE16" s="89"/>
      <c r="AF16" s="89"/>
      <c r="AG16" s="89"/>
      <c r="AH16" s="89"/>
      <c r="AI16" s="85"/>
      <c r="AJ16" s="85"/>
      <c r="AK16" s="85"/>
      <c r="AL16" s="85"/>
      <c r="AM16" s="85"/>
      <c r="AN16" s="85"/>
      <c r="AO16" s="85"/>
      <c r="AP16" s="85"/>
      <c r="AQ16" s="85"/>
      <c r="AR16" s="85"/>
      <c r="AS16" s="85"/>
      <c r="AT16" s="85"/>
      <c r="AU16" s="85"/>
      <c r="AV16" s="85"/>
      <c r="AW16" s="85"/>
      <c r="AX16" s="85"/>
      <c r="AY16" s="85"/>
      <c r="AZ16" s="85"/>
    </row>
    <row r="17" spans="1:52" s="86" customFormat="1" ht="24" customHeight="1" x14ac:dyDescent="0.25">
      <c r="A17" s="2"/>
      <c r="B17" s="2"/>
      <c r="C17" s="2"/>
      <c r="D17" s="2"/>
      <c r="E17" s="2"/>
      <c r="F17" s="2"/>
      <c r="G17" s="2"/>
      <c r="H17" s="2"/>
      <c r="I17" s="2"/>
      <c r="J17" s="2"/>
      <c r="K17" s="2"/>
      <c r="L17" s="148"/>
      <c r="M17" s="89"/>
      <c r="N17" s="89" t="s">
        <v>56</v>
      </c>
      <c r="O17" s="89"/>
      <c r="P17" s="89"/>
      <c r="Q17" s="89"/>
      <c r="R17" s="89"/>
      <c r="S17" s="89"/>
      <c r="T17" s="89"/>
      <c r="U17" s="89"/>
      <c r="V17" s="89"/>
      <c r="W17" s="88"/>
      <c r="X17" s="89"/>
      <c r="Y17" s="89"/>
      <c r="Z17" s="89"/>
      <c r="AA17" s="89"/>
      <c r="AB17" s="89"/>
      <c r="AC17" s="89"/>
      <c r="AD17" s="89"/>
      <c r="AE17" s="89"/>
      <c r="AF17" s="89"/>
      <c r="AG17" s="89"/>
      <c r="AH17" s="89"/>
      <c r="AI17" s="85"/>
      <c r="AJ17" s="85"/>
      <c r="AK17" s="85"/>
      <c r="AL17" s="85"/>
      <c r="AM17" s="85"/>
      <c r="AN17" s="85"/>
      <c r="AO17" s="85"/>
      <c r="AP17" s="85"/>
      <c r="AQ17" s="85"/>
      <c r="AR17" s="85"/>
      <c r="AS17" s="85"/>
      <c r="AT17" s="85"/>
      <c r="AU17" s="85"/>
      <c r="AV17" s="85"/>
      <c r="AW17" s="85"/>
      <c r="AX17" s="85"/>
      <c r="AY17" s="85"/>
      <c r="AZ17" s="85"/>
    </row>
    <row r="18" spans="1:52" s="86" customFormat="1" ht="24" customHeight="1" x14ac:dyDescent="0.25">
      <c r="A18" s="2"/>
      <c r="B18" s="2"/>
      <c r="C18" s="2"/>
      <c r="D18" s="2"/>
      <c r="E18" s="2"/>
      <c r="F18" s="2"/>
      <c r="G18" s="2"/>
      <c r="H18" s="2"/>
      <c r="I18" s="2"/>
      <c r="J18" s="2"/>
      <c r="K18" s="2"/>
      <c r="L18" s="148"/>
      <c r="M18" s="89" t="s">
        <v>313</v>
      </c>
      <c r="N18" s="89">
        <v>1</v>
      </c>
      <c r="O18" s="89">
        <v>7</v>
      </c>
      <c r="P18" s="89" t="str">
        <f>IF('Flow Rate Charts'!M26=7,CONCATENATE(N18, " to ",O18)," ")</f>
        <v xml:space="preserve"> </v>
      </c>
      <c r="Q18" s="89"/>
      <c r="R18" s="89"/>
      <c r="S18" s="89"/>
      <c r="T18" s="89"/>
      <c r="U18" s="89"/>
      <c r="V18" s="89"/>
      <c r="W18" s="88"/>
      <c r="X18" s="89"/>
      <c r="Y18" s="89"/>
      <c r="Z18" s="89"/>
      <c r="AA18" s="89"/>
      <c r="AB18" s="89"/>
      <c r="AC18" s="89"/>
      <c r="AD18" s="89"/>
      <c r="AE18" s="89"/>
      <c r="AF18" s="89"/>
      <c r="AG18" s="89"/>
      <c r="AH18" s="89"/>
      <c r="AI18" s="85"/>
      <c r="AJ18" s="85"/>
      <c r="AK18" s="85"/>
      <c r="AL18" s="85"/>
      <c r="AM18" s="85"/>
      <c r="AN18" s="85"/>
      <c r="AO18" s="85"/>
      <c r="AP18" s="85"/>
      <c r="AQ18" s="85"/>
      <c r="AR18" s="85"/>
      <c r="AS18" s="85"/>
      <c r="AT18" s="85"/>
      <c r="AU18" s="85"/>
      <c r="AV18" s="85"/>
      <c r="AW18" s="85"/>
      <c r="AX18" s="85"/>
      <c r="AY18" s="85"/>
      <c r="AZ18" s="85"/>
    </row>
    <row r="19" spans="1:52" s="86" customFormat="1" ht="24" customHeight="1" x14ac:dyDescent="0.25">
      <c r="A19" s="2"/>
      <c r="B19" s="2"/>
      <c r="C19" s="2"/>
      <c r="D19" s="2"/>
      <c r="E19" s="2"/>
      <c r="F19" s="2"/>
      <c r="G19" s="2"/>
      <c r="H19" s="2"/>
      <c r="I19" s="2"/>
      <c r="J19" s="2"/>
      <c r="K19" s="2"/>
      <c r="L19" s="148"/>
      <c r="M19" s="136" t="s">
        <v>120</v>
      </c>
      <c r="N19" s="138">
        <f>IF('2-Sizing'!$K$22=0,N12,(ROUND('2-Sizing'!$K$22,2)))</f>
        <v>5</v>
      </c>
      <c r="O19" s="363" t="str">
        <f>IF('2-Sizing'!G18=0, " -- ",IF('Flow Rate Charts'!M26=7,CONCATENATE(N19,"-ft")," "))</f>
        <v xml:space="preserve"> -- </v>
      </c>
      <c r="P19" s="365"/>
      <c r="Q19" s="89"/>
      <c r="R19" s="89"/>
      <c r="S19" s="89"/>
      <c r="T19" s="89"/>
      <c r="U19" s="89"/>
      <c r="V19" s="89"/>
      <c r="W19" s="88"/>
      <c r="X19" s="89"/>
      <c r="Y19" s="89"/>
      <c r="Z19" s="89"/>
      <c r="AA19" s="89"/>
      <c r="AB19" s="89"/>
      <c r="AC19" s="89"/>
      <c r="AD19" s="89"/>
      <c r="AE19" s="89"/>
      <c r="AF19" s="89"/>
      <c r="AG19" s="89"/>
      <c r="AH19" s="89"/>
      <c r="AI19" s="85"/>
      <c r="AJ19" s="85"/>
      <c r="AK19" s="85"/>
      <c r="AL19" s="85"/>
      <c r="AM19" s="85"/>
      <c r="AN19" s="85"/>
      <c r="AO19" s="85"/>
      <c r="AP19" s="85"/>
      <c r="AQ19" s="85"/>
      <c r="AR19" s="85"/>
      <c r="AS19" s="85"/>
      <c r="AT19" s="85"/>
      <c r="AU19" s="85"/>
      <c r="AV19" s="85"/>
      <c r="AW19" s="85"/>
      <c r="AX19" s="85"/>
      <c r="AY19" s="85"/>
      <c r="AZ19" s="85"/>
    </row>
    <row r="20" spans="1:52" s="86" customFormat="1" ht="24" customHeight="1" x14ac:dyDescent="0.25">
      <c r="A20" s="2"/>
      <c r="B20" s="2"/>
      <c r="C20" s="2"/>
      <c r="D20" s="2"/>
      <c r="E20" s="2"/>
      <c r="F20" s="2"/>
      <c r="G20" s="2"/>
      <c r="H20" s="2"/>
      <c r="I20" s="2"/>
      <c r="J20" s="2"/>
      <c r="K20" s="2"/>
      <c r="L20" s="148"/>
      <c r="M20" s="136" t="s">
        <v>119</v>
      </c>
      <c r="N20" s="140">
        <f>ROUND('2-Sizing'!$K$18,2)</f>
        <v>0</v>
      </c>
      <c r="O20" s="363" t="str">
        <f>IF('2-Sizing'!G18=0, " -- ",IF('Flow Rate Charts'!M26=7,CONCATENATE(N20,"-ft")," "))</f>
        <v xml:space="preserve"> -- </v>
      </c>
      <c r="P20" s="366" t="str">
        <f>IF('2-Sizing'!G18=0, " -- ",CONCATENATE("EL. = ",N20,"-ft."))</f>
        <v xml:space="preserve"> -- </v>
      </c>
      <c r="Q20" s="89"/>
      <c r="R20" s="89"/>
      <c r="S20" s="89"/>
      <c r="T20" s="89"/>
      <c r="U20" s="89"/>
      <c r="V20" s="89"/>
      <c r="W20" s="88"/>
      <c r="X20" s="89"/>
      <c r="Y20" s="89"/>
      <c r="Z20" s="89"/>
      <c r="AA20" s="89"/>
      <c r="AB20" s="89"/>
      <c r="AC20" s="89"/>
      <c r="AD20" s="89"/>
      <c r="AE20" s="89"/>
      <c r="AF20" s="89"/>
      <c r="AG20" s="89"/>
      <c r="AH20" s="89"/>
      <c r="AI20" s="85"/>
      <c r="AJ20" s="85"/>
      <c r="AK20" s="85"/>
      <c r="AL20" s="85"/>
      <c r="AM20" s="85"/>
      <c r="AN20" s="85"/>
      <c r="AO20" s="85"/>
      <c r="AP20" s="85"/>
      <c r="AQ20" s="85"/>
      <c r="AR20" s="85"/>
      <c r="AS20" s="85"/>
      <c r="AT20" s="85"/>
      <c r="AU20" s="85"/>
      <c r="AV20" s="85"/>
      <c r="AW20" s="85"/>
      <c r="AX20" s="85"/>
      <c r="AY20" s="85"/>
      <c r="AZ20" s="85"/>
    </row>
    <row r="21" spans="1:52" s="86" customFormat="1" ht="24" customHeight="1" x14ac:dyDescent="0.25">
      <c r="A21" s="2"/>
      <c r="B21" s="2"/>
      <c r="C21" s="2"/>
      <c r="D21" s="2"/>
      <c r="E21" s="2"/>
      <c r="F21" s="2"/>
      <c r="G21" s="2"/>
      <c r="H21" s="2"/>
      <c r="I21" s="2"/>
      <c r="J21" s="2"/>
      <c r="K21" s="2"/>
      <c r="L21" s="148"/>
      <c r="M21" s="136" t="s">
        <v>315</v>
      </c>
      <c r="N21" s="140">
        <f>ROUND(N22+3.8,2)</f>
        <v>0.8</v>
      </c>
      <c r="O21" s="363" t="str">
        <f>IF('2-Sizing'!G18=0, " -- ",IF('Flow Rate Charts'!M26=7,CONCATENATE(N21,"-ft")," "))</f>
        <v xml:space="preserve"> -- </v>
      </c>
      <c r="P21" s="85"/>
      <c r="Q21" s="89"/>
      <c r="R21" s="89"/>
      <c r="S21" s="89"/>
      <c r="T21" s="89"/>
      <c r="U21" s="89"/>
      <c r="V21" s="89"/>
      <c r="W21" s="88"/>
      <c r="X21" s="89"/>
      <c r="Y21" s="89"/>
      <c r="Z21" s="89"/>
      <c r="AA21" s="89"/>
      <c r="AB21" s="89"/>
      <c r="AC21" s="89"/>
      <c r="AD21" s="89"/>
      <c r="AE21" s="89"/>
      <c r="AF21" s="89"/>
      <c r="AG21" s="89"/>
      <c r="AH21" s="89"/>
      <c r="AI21" s="85"/>
      <c r="AJ21" s="85"/>
      <c r="AK21" s="85"/>
      <c r="AL21" s="85"/>
      <c r="AM21" s="85"/>
      <c r="AN21" s="85"/>
      <c r="AO21" s="85"/>
      <c r="AP21" s="85"/>
      <c r="AQ21" s="85"/>
      <c r="AR21" s="85"/>
      <c r="AS21" s="85"/>
      <c r="AT21" s="85"/>
      <c r="AU21" s="85"/>
      <c r="AV21" s="85"/>
      <c r="AW21" s="85"/>
      <c r="AX21" s="85"/>
      <c r="AY21" s="85"/>
      <c r="AZ21" s="85"/>
    </row>
    <row r="22" spans="1:52" s="86" customFormat="1" ht="24" customHeight="1" x14ac:dyDescent="0.25">
      <c r="A22" s="2"/>
      <c r="B22" s="2"/>
      <c r="C22" s="2"/>
      <c r="D22" s="2"/>
      <c r="E22" s="2"/>
      <c r="F22" s="2"/>
      <c r="G22" s="2"/>
      <c r="H22" s="2"/>
      <c r="I22" s="2"/>
      <c r="J22" s="2"/>
      <c r="K22" s="2"/>
      <c r="L22" s="148"/>
      <c r="M22" s="136" t="s">
        <v>117</v>
      </c>
      <c r="N22" s="140">
        <f>ROUND(N20-N13,2)</f>
        <v>-3</v>
      </c>
      <c r="O22" s="364" t="str">
        <f>IF('2-Sizing'!G18=0, " -- ",IF('Flow Rate Charts'!M26=7,CONCATENATE(N22,"-ft")," "))</f>
        <v xml:space="preserve"> -- </v>
      </c>
      <c r="P22" s="85"/>
      <c r="Q22" s="89"/>
      <c r="R22" s="89"/>
      <c r="S22" s="89"/>
      <c r="T22" s="89"/>
      <c r="U22" s="89"/>
      <c r="V22" s="89"/>
      <c r="W22" s="88"/>
      <c r="X22" s="89"/>
      <c r="Y22" s="89"/>
      <c r="Z22" s="89"/>
      <c r="AA22" s="89"/>
      <c r="AB22" s="89"/>
      <c r="AC22" s="89"/>
      <c r="AD22" s="89"/>
      <c r="AE22" s="89"/>
      <c r="AF22" s="89"/>
      <c r="AG22" s="89"/>
      <c r="AH22" s="89"/>
      <c r="AI22" s="85"/>
      <c r="AJ22" s="85"/>
      <c r="AK22" s="85"/>
      <c r="AL22" s="85"/>
      <c r="AM22" s="85"/>
      <c r="AN22" s="85"/>
      <c r="AO22" s="85"/>
      <c r="AP22" s="85"/>
      <c r="AQ22" s="85"/>
      <c r="AR22" s="85"/>
      <c r="AS22" s="85"/>
      <c r="AT22" s="85"/>
      <c r="AU22" s="85"/>
      <c r="AV22" s="85"/>
      <c r="AW22" s="85"/>
      <c r="AX22" s="85"/>
      <c r="AY22" s="85"/>
      <c r="AZ22" s="85"/>
    </row>
    <row r="23" spans="1:52" s="86" customFormat="1" ht="24" customHeight="1" x14ac:dyDescent="0.25">
      <c r="A23" s="2"/>
      <c r="B23" s="2"/>
      <c r="C23" s="2"/>
      <c r="D23" s="2"/>
      <c r="E23" s="2"/>
      <c r="F23" s="2"/>
      <c r="G23" s="2"/>
      <c r="H23" s="2"/>
      <c r="I23" s="2"/>
      <c r="J23" s="2"/>
      <c r="K23" s="2"/>
      <c r="L23" s="148"/>
      <c r="M23" s="136" t="s">
        <v>123</v>
      </c>
      <c r="N23" s="140">
        <f>ROUND(N19-N20,2)</f>
        <v>5</v>
      </c>
      <c r="O23" s="367" t="str">
        <f>IF('2-Sizing'!G18=0, " -- ",CONCATENATE(N23,"-ft"))</f>
        <v xml:space="preserve"> -- </v>
      </c>
      <c r="P23" s="85"/>
      <c r="Q23" s="89"/>
      <c r="R23" s="89"/>
      <c r="S23" s="89"/>
      <c r="T23" s="89"/>
      <c r="U23" s="89"/>
      <c r="V23" s="89"/>
      <c r="W23" s="88"/>
      <c r="X23" s="89"/>
      <c r="Y23" s="89"/>
      <c r="Z23" s="89"/>
      <c r="AA23" s="89"/>
      <c r="AB23" s="89"/>
      <c r="AC23" s="89"/>
      <c r="AD23" s="89"/>
      <c r="AE23" s="89"/>
      <c r="AF23" s="89"/>
      <c r="AG23" s="89"/>
      <c r="AH23" s="89"/>
      <c r="AI23" s="85"/>
      <c r="AJ23" s="85"/>
      <c r="AK23" s="85"/>
      <c r="AL23" s="85"/>
      <c r="AM23" s="85"/>
      <c r="AN23" s="85"/>
      <c r="AO23" s="85"/>
      <c r="AP23" s="85"/>
      <c r="AQ23" s="85"/>
      <c r="AR23" s="85"/>
      <c r="AS23" s="85"/>
      <c r="AT23" s="85"/>
      <c r="AU23" s="85"/>
      <c r="AV23" s="85"/>
      <c r="AW23" s="85"/>
      <c r="AX23" s="85"/>
      <c r="AY23" s="85"/>
      <c r="AZ23" s="85"/>
    </row>
    <row r="24" spans="1:52" s="86" customFormat="1" ht="24" customHeight="1" x14ac:dyDescent="0.25">
      <c r="A24" s="2"/>
      <c r="B24" s="2"/>
      <c r="C24" s="2"/>
      <c r="D24" s="2"/>
      <c r="E24" s="2"/>
      <c r="F24" s="2"/>
      <c r="G24" s="2"/>
      <c r="H24" s="2"/>
      <c r="I24" s="2"/>
      <c r="J24" s="2"/>
      <c r="K24" s="2"/>
      <c r="L24" s="148"/>
      <c r="M24" s="89" t="s">
        <v>311</v>
      </c>
      <c r="N24" s="89">
        <v>15</v>
      </c>
      <c r="O24" s="362" t="s">
        <v>283</v>
      </c>
      <c r="P24" s="85" t="str">
        <f>IF('2-Sizing'!G18=0, " -- ",CONCATENATE(N24,O24))</f>
        <v xml:space="preserve"> -- </v>
      </c>
      <c r="Q24" s="89"/>
      <c r="R24" s="89"/>
      <c r="S24" s="89"/>
      <c r="T24" s="89"/>
      <c r="U24" s="89"/>
      <c r="V24" s="89"/>
      <c r="W24" s="88"/>
      <c r="X24" s="89"/>
      <c r="Y24" s="89"/>
      <c r="Z24" s="89"/>
      <c r="AA24" s="89"/>
      <c r="AB24" s="89"/>
      <c r="AC24" s="89"/>
      <c r="AD24" s="89"/>
      <c r="AE24" s="89"/>
      <c r="AF24" s="89"/>
      <c r="AG24" s="89"/>
      <c r="AH24" s="89"/>
      <c r="AI24" s="85"/>
      <c r="AJ24" s="85"/>
      <c r="AK24" s="85"/>
      <c r="AL24" s="85"/>
      <c r="AM24" s="85"/>
      <c r="AN24" s="85"/>
      <c r="AO24" s="85"/>
      <c r="AP24" s="85"/>
      <c r="AQ24" s="85"/>
      <c r="AR24" s="85"/>
      <c r="AS24" s="85"/>
      <c r="AT24" s="85"/>
      <c r="AU24" s="85"/>
      <c r="AV24" s="85"/>
      <c r="AW24" s="85"/>
      <c r="AX24" s="85"/>
      <c r="AY24" s="85"/>
      <c r="AZ24" s="85"/>
    </row>
    <row r="25" spans="1:52" s="86" customFormat="1" ht="24" customHeight="1" x14ac:dyDescent="0.25">
      <c r="A25" s="2"/>
      <c r="B25" s="2"/>
      <c r="C25" s="2"/>
      <c r="D25" s="2"/>
      <c r="E25" s="2"/>
      <c r="F25" s="2"/>
      <c r="G25" s="2"/>
      <c r="H25" s="2"/>
      <c r="I25" s="2"/>
      <c r="J25" s="2"/>
      <c r="K25" s="2"/>
      <c r="L25" s="148"/>
      <c r="M25" s="89" t="s">
        <v>312</v>
      </c>
      <c r="N25" s="89">
        <f>ROUNDUP(N20+(29.5/12),2)</f>
        <v>2.46</v>
      </c>
      <c r="O25" s="364" t="str">
        <f>IF('2-Sizing'!G18=0, " -- ",IF('Flow Rate Charts'!M26=7,CONCATENATE(N25,"-ft")," "))</f>
        <v xml:space="preserve"> -- </v>
      </c>
      <c r="P25" s="85"/>
      <c r="Q25" s="89"/>
      <c r="R25" s="89"/>
      <c r="S25" s="89"/>
      <c r="T25" s="89"/>
      <c r="U25" s="89"/>
      <c r="V25" s="89"/>
      <c r="W25" s="88"/>
      <c r="X25" s="89"/>
      <c r="Y25" s="89"/>
      <c r="Z25" s="89"/>
      <c r="AA25" s="89"/>
      <c r="AB25" s="89"/>
      <c r="AC25" s="89"/>
      <c r="AD25" s="89"/>
      <c r="AE25" s="89"/>
      <c r="AF25" s="89"/>
      <c r="AG25" s="89"/>
      <c r="AH25" s="89"/>
      <c r="AI25" s="85"/>
      <c r="AJ25" s="85"/>
      <c r="AK25" s="85"/>
      <c r="AL25" s="85"/>
      <c r="AM25" s="85"/>
      <c r="AN25" s="85"/>
      <c r="AO25" s="85"/>
      <c r="AP25" s="85"/>
      <c r="AQ25" s="85"/>
      <c r="AR25" s="85"/>
      <c r="AS25" s="85"/>
      <c r="AT25" s="85"/>
      <c r="AU25" s="85"/>
      <c r="AV25" s="85"/>
      <c r="AW25" s="85"/>
      <c r="AX25" s="85"/>
      <c r="AY25" s="85"/>
      <c r="AZ25" s="85"/>
    </row>
    <row r="26" spans="1:52" s="86" customFormat="1" ht="24" customHeight="1" x14ac:dyDescent="0.25">
      <c r="A26" s="2"/>
      <c r="B26" s="2"/>
      <c r="C26" s="2"/>
      <c r="D26" s="2"/>
      <c r="E26" s="2"/>
      <c r="F26" s="2"/>
      <c r="G26" s="2"/>
      <c r="H26" s="2"/>
      <c r="I26" s="2"/>
      <c r="J26" s="2"/>
      <c r="K26" s="2"/>
      <c r="L26" s="148"/>
      <c r="M26" s="89" t="s">
        <v>317</v>
      </c>
      <c r="N26" s="140">
        <f>ROUND(3+(N19-N20),2)</f>
        <v>8</v>
      </c>
      <c r="O26" s="362">
        <f>N26*12</f>
        <v>96</v>
      </c>
      <c r="P26" s="368" t="str">
        <f>IF('Flow Rate Charts'!M26=7,CONCATENATE(O26, "-in")," ")</f>
        <v xml:space="preserve"> </v>
      </c>
      <c r="Q26" s="89"/>
      <c r="R26" s="89"/>
      <c r="S26" s="89"/>
      <c r="T26" s="89"/>
      <c r="U26" s="89"/>
      <c r="V26" s="89"/>
      <c r="W26" s="88"/>
      <c r="X26" s="89"/>
      <c r="Y26" s="89"/>
      <c r="Z26" s="89"/>
      <c r="AA26" s="89"/>
      <c r="AB26" s="89"/>
      <c r="AC26" s="89"/>
      <c r="AD26" s="89"/>
      <c r="AE26" s="89"/>
      <c r="AF26" s="89"/>
      <c r="AG26" s="89"/>
      <c r="AH26" s="89"/>
      <c r="AI26" s="85"/>
      <c r="AJ26" s="85"/>
      <c r="AK26" s="85"/>
      <c r="AL26" s="85"/>
      <c r="AM26" s="85"/>
      <c r="AN26" s="85"/>
      <c r="AO26" s="85"/>
      <c r="AP26" s="85"/>
      <c r="AQ26" s="85"/>
      <c r="AR26" s="85"/>
      <c r="AS26" s="85"/>
      <c r="AT26" s="85"/>
      <c r="AU26" s="85"/>
      <c r="AV26" s="85"/>
      <c r="AW26" s="85"/>
      <c r="AX26" s="85"/>
      <c r="AY26" s="85"/>
      <c r="AZ26" s="85"/>
    </row>
    <row r="27" spans="1:52" s="86" customFormat="1" ht="24" customHeight="1" x14ac:dyDescent="0.25">
      <c r="A27" s="2"/>
      <c r="B27" s="2"/>
      <c r="C27" s="2"/>
      <c r="D27" s="2"/>
      <c r="E27" s="2"/>
      <c r="F27" s="2"/>
      <c r="G27" s="2"/>
      <c r="H27" s="2"/>
      <c r="I27" s="2"/>
      <c r="J27" s="2"/>
      <c r="K27" s="2"/>
      <c r="L27" s="148"/>
      <c r="M27" s="89" t="s">
        <v>318</v>
      </c>
      <c r="N27" s="89" t="str">
        <f>IF('2-Sizing'!C19="St. Louis MSD (20 gpm/Filter Module)","Filter Sand", "CPZ Mix Media")</f>
        <v>CPZ Mix Media</v>
      </c>
      <c r="O27" s="85">
        <f>O26-4</f>
        <v>92</v>
      </c>
      <c r="P27" s="365" t="str">
        <f>IF('Flow Rate Charts'!M26=7,CONCATENATE(O27, "-in")," ")</f>
        <v xml:space="preserve"> </v>
      </c>
      <c r="Q27" s="318" t="str">
        <f>IF('Flow Rate Charts'!M26=7,N27," ")</f>
        <v xml:space="preserve"> </v>
      </c>
      <c r="R27" s="89"/>
      <c r="S27" s="89"/>
      <c r="T27" s="89"/>
      <c r="U27" s="89"/>
      <c r="V27" s="89"/>
      <c r="W27" s="88"/>
      <c r="X27" s="89"/>
      <c r="Y27" s="89"/>
      <c r="Z27" s="89"/>
      <c r="AA27" s="89"/>
      <c r="AB27" s="89"/>
      <c r="AC27" s="89"/>
      <c r="AD27" s="89"/>
      <c r="AE27" s="89"/>
      <c r="AF27" s="89"/>
      <c r="AG27" s="89"/>
      <c r="AH27" s="89"/>
      <c r="AI27" s="85"/>
      <c r="AJ27" s="85"/>
      <c r="AK27" s="85"/>
      <c r="AL27" s="85"/>
      <c r="AM27" s="85"/>
      <c r="AN27" s="85"/>
      <c r="AO27" s="85"/>
      <c r="AP27" s="85"/>
      <c r="AQ27" s="85"/>
      <c r="AR27" s="85"/>
      <c r="AS27" s="85"/>
      <c r="AT27" s="85"/>
      <c r="AU27" s="85"/>
      <c r="AV27" s="85"/>
      <c r="AW27" s="85"/>
      <c r="AX27" s="85"/>
      <c r="AY27" s="85"/>
      <c r="AZ27" s="85"/>
    </row>
    <row r="28" spans="1:52" s="86" customFormat="1" ht="24" customHeight="1" x14ac:dyDescent="0.25">
      <c r="A28" s="2"/>
      <c r="B28" s="2"/>
      <c r="C28" s="2"/>
      <c r="D28" s="2"/>
      <c r="E28" s="2"/>
      <c r="F28" s="2"/>
      <c r="G28" s="2"/>
      <c r="H28" s="2"/>
      <c r="I28" s="2"/>
      <c r="J28" s="2"/>
      <c r="K28" s="2"/>
      <c r="L28" s="148"/>
      <c r="M28" s="89" t="s">
        <v>332</v>
      </c>
      <c r="N28" s="89" t="str">
        <f>IF('Flow Rate Charts'!M26=4,"Hydro International Does Not Recommend Use of This Drawing for the Design Parameters Entered. Use DWG 1-6 Modules (Online) on Tab 3a.",IF('Flow Rate Charts'!M26=7,"", IF('Flow Rate Charts'!M26=10.5,"Hydro International Does Not Recommend The Use of This Drawing. Use DWG 8-19 Mods (On or Offline) on Worksheet 3c instead", IF('Flow Rate Charts'!M26=11, "Hydro International Does Not Recommend the Use of This Drawing. Use DWG 20-38 Mods (On or Offline) on Worksheet 3d instead.", IF('Flow Rate Charts'!M26=15,"Hydro International Does Not Recommend the Use of This Drawing. Use DWG 39-57 Mods (On or Offline) on Worksheet 3e instead.", " ")))))</f>
        <v>Hydro International Does Not Recommend Use of This Drawing for the Design Parameters Entered. Use DWG 1-6 Modules (Online) on Tab 3a.</v>
      </c>
      <c r="O28" s="89"/>
      <c r="P28" s="89"/>
      <c r="Q28" s="89"/>
      <c r="R28" s="89"/>
      <c r="S28" s="89"/>
      <c r="T28" s="89"/>
      <c r="U28" s="89"/>
      <c r="V28" s="89"/>
      <c r="W28" s="88"/>
      <c r="X28" s="89"/>
      <c r="Y28" s="89"/>
      <c r="Z28" s="89"/>
      <c r="AA28" s="89"/>
      <c r="AB28" s="89"/>
      <c r="AC28" s="89"/>
      <c r="AD28" s="89"/>
      <c r="AE28" s="89"/>
      <c r="AF28" s="89"/>
      <c r="AG28" s="89"/>
      <c r="AH28" s="89"/>
      <c r="AI28" s="85"/>
      <c r="AJ28" s="85"/>
      <c r="AK28" s="85"/>
      <c r="AL28" s="85"/>
      <c r="AM28" s="85"/>
      <c r="AN28" s="85"/>
      <c r="AO28" s="85"/>
      <c r="AP28" s="85"/>
      <c r="AQ28" s="85"/>
      <c r="AR28" s="85"/>
      <c r="AS28" s="85"/>
      <c r="AT28" s="85"/>
      <c r="AU28" s="85"/>
      <c r="AV28" s="85"/>
      <c r="AW28" s="85"/>
      <c r="AX28" s="85"/>
      <c r="AY28" s="85"/>
      <c r="AZ28" s="85"/>
    </row>
    <row r="29" spans="1:52" s="86" customFormat="1" ht="24" customHeight="1" x14ac:dyDescent="0.25">
      <c r="A29" s="2"/>
      <c r="B29" s="2"/>
      <c r="C29" s="2"/>
      <c r="D29" s="2"/>
      <c r="E29" s="2"/>
      <c r="F29" s="2"/>
      <c r="G29" s="2"/>
      <c r="H29" s="2"/>
      <c r="I29" s="2"/>
      <c r="J29" s="2"/>
      <c r="K29" s="2"/>
      <c r="L29" s="148"/>
      <c r="M29" s="89"/>
      <c r="N29" s="89"/>
      <c r="O29" s="89"/>
      <c r="P29" s="89"/>
      <c r="Q29" s="89"/>
      <c r="R29" s="89"/>
      <c r="S29" s="89"/>
      <c r="T29" s="89"/>
      <c r="U29" s="89"/>
      <c r="V29" s="89"/>
      <c r="W29" s="88"/>
      <c r="X29" s="89"/>
      <c r="Y29" s="89"/>
      <c r="Z29" s="89"/>
      <c r="AA29" s="89"/>
      <c r="AB29" s="89"/>
      <c r="AC29" s="89"/>
      <c r="AD29" s="89"/>
      <c r="AE29" s="89"/>
      <c r="AF29" s="89"/>
      <c r="AG29" s="89"/>
      <c r="AH29" s="89"/>
      <c r="AI29" s="85"/>
      <c r="AJ29" s="85"/>
      <c r="AK29" s="85"/>
      <c r="AL29" s="85"/>
      <c r="AM29" s="85"/>
      <c r="AN29" s="85"/>
      <c r="AO29" s="85"/>
      <c r="AP29" s="85"/>
      <c r="AQ29" s="85"/>
      <c r="AR29" s="85"/>
      <c r="AS29" s="85"/>
      <c r="AT29" s="85"/>
      <c r="AU29" s="85"/>
      <c r="AV29" s="85"/>
      <c r="AW29" s="85"/>
      <c r="AX29" s="85"/>
      <c r="AY29" s="85"/>
      <c r="AZ29" s="85"/>
    </row>
    <row r="30" spans="1:52" s="86" customFormat="1" ht="24" customHeight="1" x14ac:dyDescent="0.25">
      <c r="A30" s="2"/>
      <c r="B30" s="2"/>
      <c r="C30" s="2"/>
      <c r="D30" s="2"/>
      <c r="E30" s="2"/>
      <c r="F30" s="2"/>
      <c r="G30" s="2"/>
      <c r="H30" s="2"/>
      <c r="I30" s="2"/>
      <c r="J30" s="2"/>
      <c r="K30" s="2"/>
      <c r="L30" s="148"/>
      <c r="M30" s="89"/>
      <c r="N30" s="89"/>
      <c r="O30" s="89"/>
      <c r="P30" s="89"/>
      <c r="Q30" s="89"/>
      <c r="R30" s="89"/>
      <c r="S30" s="89"/>
      <c r="T30" s="89"/>
      <c r="U30" s="89"/>
      <c r="V30" s="89"/>
      <c r="W30" s="88"/>
      <c r="X30" s="89"/>
      <c r="Y30" s="89"/>
      <c r="Z30" s="89"/>
      <c r="AA30" s="89"/>
      <c r="AB30" s="89"/>
      <c r="AC30" s="89"/>
      <c r="AD30" s="89"/>
      <c r="AE30" s="89"/>
      <c r="AF30" s="89"/>
      <c r="AG30" s="89"/>
      <c r="AH30" s="89"/>
      <c r="AI30" s="85"/>
      <c r="AJ30" s="85"/>
      <c r="AK30" s="85"/>
      <c r="AL30" s="85"/>
      <c r="AM30" s="85"/>
      <c r="AN30" s="85"/>
      <c r="AO30" s="85"/>
      <c r="AP30" s="85"/>
      <c r="AQ30" s="85"/>
      <c r="AR30" s="85"/>
      <c r="AS30" s="85"/>
      <c r="AT30" s="85"/>
      <c r="AU30" s="85"/>
      <c r="AV30" s="85"/>
      <c r="AW30" s="85"/>
      <c r="AX30" s="85"/>
      <c r="AY30" s="85"/>
      <c r="AZ30" s="85"/>
    </row>
    <row r="31" spans="1:52" s="86" customFormat="1" ht="24" customHeight="1" x14ac:dyDescent="0.25">
      <c r="A31" s="2"/>
      <c r="B31" s="2"/>
      <c r="C31" s="2"/>
      <c r="D31" s="2"/>
      <c r="E31" s="2"/>
      <c r="F31" s="2"/>
      <c r="G31" s="2"/>
      <c r="H31" s="2"/>
      <c r="I31" s="2"/>
      <c r="J31" s="2"/>
      <c r="K31" s="2"/>
      <c r="L31" s="148"/>
      <c r="M31" s="89"/>
      <c r="N31" s="89"/>
      <c r="O31" s="89"/>
      <c r="P31" s="89"/>
      <c r="Q31" s="89"/>
      <c r="R31" s="89"/>
      <c r="S31" s="89"/>
      <c r="T31" s="89"/>
      <c r="U31" s="89"/>
      <c r="V31" s="89"/>
      <c r="W31" s="88"/>
      <c r="X31" s="89"/>
      <c r="Y31" s="89"/>
      <c r="Z31" s="89"/>
      <c r="AA31" s="89"/>
      <c r="AB31" s="89"/>
      <c r="AC31" s="89"/>
      <c r="AD31" s="89"/>
      <c r="AE31" s="89"/>
      <c r="AF31" s="89"/>
      <c r="AG31" s="89"/>
      <c r="AH31" s="89"/>
      <c r="AI31" s="85"/>
      <c r="AJ31" s="85"/>
      <c r="AK31" s="85"/>
      <c r="AL31" s="85"/>
      <c r="AM31" s="85"/>
      <c r="AN31" s="85"/>
      <c r="AO31" s="85"/>
      <c r="AP31" s="85"/>
      <c r="AQ31" s="85"/>
      <c r="AR31" s="85"/>
      <c r="AS31" s="85"/>
      <c r="AT31" s="85"/>
      <c r="AU31" s="85"/>
      <c r="AV31" s="85"/>
      <c r="AW31" s="85"/>
      <c r="AX31" s="85"/>
      <c r="AY31" s="85"/>
      <c r="AZ31" s="85"/>
    </row>
    <row r="32" spans="1:52" s="86" customFormat="1" ht="24" customHeight="1" x14ac:dyDescent="0.25">
      <c r="A32" s="2"/>
      <c r="B32" s="2"/>
      <c r="C32" s="2"/>
      <c r="D32" s="2"/>
      <c r="E32" s="2"/>
      <c r="F32" s="2"/>
      <c r="G32" s="2"/>
      <c r="H32" s="2"/>
      <c r="I32" s="2"/>
      <c r="J32" s="2"/>
      <c r="K32" s="2"/>
      <c r="L32" s="148"/>
      <c r="M32" s="89"/>
      <c r="N32" s="89"/>
      <c r="O32" s="89"/>
      <c r="P32" s="89"/>
      <c r="Q32" s="89"/>
      <c r="R32" s="89"/>
      <c r="S32" s="89"/>
      <c r="T32" s="89"/>
      <c r="U32" s="89"/>
      <c r="V32" s="89"/>
      <c r="W32" s="88"/>
      <c r="X32" s="89"/>
      <c r="Y32" s="89"/>
      <c r="Z32" s="89"/>
      <c r="AA32" s="89"/>
      <c r="AB32" s="89"/>
      <c r="AC32" s="89"/>
      <c r="AD32" s="89"/>
      <c r="AE32" s="89"/>
      <c r="AF32" s="89"/>
      <c r="AG32" s="89"/>
      <c r="AH32" s="89"/>
      <c r="AI32" s="85"/>
      <c r="AJ32" s="85"/>
      <c r="AK32" s="85"/>
      <c r="AL32" s="85"/>
      <c r="AM32" s="85"/>
      <c r="AN32" s="85"/>
      <c r="AO32" s="85"/>
      <c r="AP32" s="85"/>
      <c r="AQ32" s="85"/>
      <c r="AR32" s="85"/>
      <c r="AS32" s="85"/>
      <c r="AT32" s="85"/>
      <c r="AU32" s="85"/>
      <c r="AV32" s="85"/>
      <c r="AW32" s="85"/>
      <c r="AX32" s="85"/>
      <c r="AY32" s="85"/>
      <c r="AZ32" s="85"/>
    </row>
    <row r="33" spans="1:52" s="86" customFormat="1" ht="24" customHeight="1" x14ac:dyDescent="0.25">
      <c r="A33" s="2"/>
      <c r="B33" s="2"/>
      <c r="C33" s="2"/>
      <c r="D33" s="2"/>
      <c r="E33" s="2"/>
      <c r="F33" s="2"/>
      <c r="G33" s="2"/>
      <c r="H33" s="2"/>
      <c r="I33" s="2"/>
      <c r="J33" s="2"/>
      <c r="K33" s="2"/>
      <c r="L33" s="148"/>
      <c r="M33" s="89"/>
      <c r="N33" s="89"/>
      <c r="O33" s="89"/>
      <c r="P33" s="89"/>
      <c r="Q33" s="89"/>
      <c r="R33" s="89"/>
      <c r="S33" s="89"/>
      <c r="T33" s="89"/>
      <c r="U33" s="89"/>
      <c r="V33" s="89"/>
      <c r="W33" s="88"/>
      <c r="X33" s="89"/>
      <c r="Y33" s="89"/>
      <c r="Z33" s="89"/>
      <c r="AA33" s="89"/>
      <c r="AB33" s="89"/>
      <c r="AC33" s="89"/>
      <c r="AD33" s="89"/>
      <c r="AE33" s="89"/>
      <c r="AF33" s="89"/>
      <c r="AG33" s="89"/>
      <c r="AH33" s="89"/>
      <c r="AI33" s="85"/>
      <c r="AJ33" s="85"/>
      <c r="AK33" s="85"/>
      <c r="AL33" s="85"/>
      <c r="AM33" s="85"/>
      <c r="AN33" s="85"/>
      <c r="AO33" s="85"/>
      <c r="AP33" s="85"/>
      <c r="AQ33" s="85"/>
      <c r="AR33" s="85"/>
      <c r="AS33" s="85"/>
      <c r="AT33" s="85"/>
      <c r="AU33" s="85"/>
      <c r="AV33" s="85"/>
      <c r="AW33" s="85"/>
      <c r="AX33" s="85"/>
      <c r="AY33" s="85"/>
      <c r="AZ33" s="85"/>
    </row>
    <row r="34" spans="1:52" s="86" customFormat="1" ht="24" customHeight="1" x14ac:dyDescent="0.25">
      <c r="A34" s="2"/>
      <c r="B34" s="2"/>
      <c r="C34" s="2"/>
      <c r="D34" s="2"/>
      <c r="E34" s="2"/>
      <c r="F34" s="2"/>
      <c r="G34" s="2"/>
      <c r="H34" s="2"/>
      <c r="I34" s="2"/>
      <c r="J34" s="2"/>
      <c r="K34" s="2"/>
      <c r="L34" s="148"/>
      <c r="M34" s="89"/>
      <c r="N34" s="89"/>
      <c r="O34" s="89"/>
      <c r="P34" s="89"/>
      <c r="Q34" s="89"/>
      <c r="R34" s="89"/>
      <c r="S34" s="89"/>
      <c r="T34" s="89"/>
      <c r="U34" s="89"/>
      <c r="V34" s="89"/>
      <c r="W34" s="88"/>
      <c r="X34" s="89"/>
      <c r="Y34" s="89"/>
      <c r="Z34" s="89"/>
      <c r="AA34" s="89"/>
      <c r="AB34" s="89"/>
      <c r="AC34" s="89"/>
      <c r="AD34" s="89"/>
      <c r="AE34" s="89"/>
      <c r="AF34" s="89"/>
      <c r="AG34" s="89"/>
      <c r="AH34" s="89"/>
      <c r="AI34" s="85"/>
      <c r="AJ34" s="85"/>
      <c r="AK34" s="85"/>
      <c r="AL34" s="85"/>
      <c r="AM34" s="85"/>
      <c r="AN34" s="85"/>
      <c r="AO34" s="85"/>
      <c r="AP34" s="85"/>
      <c r="AQ34" s="85"/>
      <c r="AR34" s="85"/>
      <c r="AS34" s="85"/>
      <c r="AT34" s="85"/>
      <c r="AU34" s="85"/>
      <c r="AV34" s="85"/>
      <c r="AW34" s="85"/>
      <c r="AX34" s="85"/>
      <c r="AY34" s="85"/>
      <c r="AZ34" s="85"/>
    </row>
    <row r="35" spans="1:52" s="86" customFormat="1" ht="24" customHeight="1" x14ac:dyDescent="0.25">
      <c r="A35" s="2"/>
      <c r="B35" s="2"/>
      <c r="C35" s="2"/>
      <c r="D35" s="2"/>
      <c r="E35" s="2"/>
      <c r="F35" s="2"/>
      <c r="G35" s="2"/>
      <c r="H35" s="2"/>
      <c r="I35" s="2"/>
      <c r="J35" s="2"/>
      <c r="K35" s="2"/>
      <c r="L35" s="148"/>
      <c r="M35" s="89"/>
      <c r="N35" s="89"/>
      <c r="O35" s="89"/>
      <c r="P35" s="89"/>
      <c r="Q35" s="89"/>
      <c r="R35" s="89"/>
      <c r="S35" s="89"/>
      <c r="T35" s="89"/>
      <c r="U35" s="89"/>
      <c r="V35" s="89"/>
      <c r="W35" s="88"/>
      <c r="X35" s="89"/>
      <c r="Y35" s="89"/>
      <c r="Z35" s="89"/>
      <c r="AA35" s="89"/>
      <c r="AB35" s="89"/>
      <c r="AC35" s="89"/>
      <c r="AD35" s="89"/>
      <c r="AE35" s="89"/>
      <c r="AF35" s="89"/>
      <c r="AG35" s="89"/>
      <c r="AH35" s="89"/>
      <c r="AI35" s="85"/>
      <c r="AJ35" s="85"/>
      <c r="AK35" s="85"/>
      <c r="AL35" s="85"/>
      <c r="AM35" s="85"/>
      <c r="AN35" s="85"/>
      <c r="AO35" s="85"/>
      <c r="AP35" s="85"/>
      <c r="AQ35" s="85"/>
      <c r="AR35" s="85"/>
      <c r="AS35" s="85"/>
      <c r="AT35" s="85"/>
      <c r="AU35" s="85"/>
      <c r="AV35" s="85"/>
      <c r="AW35" s="85"/>
      <c r="AX35" s="85"/>
      <c r="AY35" s="85"/>
      <c r="AZ35" s="85"/>
    </row>
    <row r="36" spans="1:52" s="86" customFormat="1" ht="24" customHeight="1" x14ac:dyDescent="0.25">
      <c r="A36" s="2"/>
      <c r="B36" s="2"/>
      <c r="C36" s="2"/>
      <c r="D36" s="2"/>
      <c r="E36" s="2"/>
      <c r="F36" s="2"/>
      <c r="G36" s="2"/>
      <c r="H36" s="2"/>
      <c r="I36" s="2"/>
      <c r="J36" s="2"/>
      <c r="K36" s="2"/>
      <c r="L36" s="148"/>
      <c r="M36" s="89"/>
      <c r="N36" s="89"/>
      <c r="O36" s="89"/>
      <c r="P36" s="89"/>
      <c r="Q36" s="89"/>
      <c r="R36" s="89"/>
      <c r="S36" s="89"/>
      <c r="T36" s="89"/>
      <c r="U36" s="89"/>
      <c r="V36" s="89"/>
      <c r="W36" s="88"/>
      <c r="X36" s="89"/>
      <c r="Y36" s="89"/>
      <c r="Z36" s="89"/>
      <c r="AA36" s="89"/>
      <c r="AB36" s="89"/>
      <c r="AC36" s="89"/>
      <c r="AD36" s="89"/>
      <c r="AE36" s="89"/>
      <c r="AF36" s="89"/>
      <c r="AG36" s="89"/>
      <c r="AH36" s="89"/>
      <c r="AI36" s="85"/>
      <c r="AJ36" s="85"/>
      <c r="AK36" s="85"/>
      <c r="AL36" s="85"/>
      <c r="AM36" s="85"/>
      <c r="AN36" s="85"/>
      <c r="AO36" s="85"/>
      <c r="AP36" s="85"/>
      <c r="AQ36" s="85"/>
      <c r="AR36" s="85"/>
      <c r="AS36" s="85"/>
      <c r="AT36" s="85"/>
      <c r="AU36" s="85"/>
      <c r="AV36" s="85"/>
      <c r="AW36" s="85"/>
      <c r="AX36" s="85"/>
      <c r="AY36" s="85"/>
      <c r="AZ36" s="85"/>
    </row>
    <row r="37" spans="1:52" s="86" customFormat="1" ht="24" customHeight="1" x14ac:dyDescent="0.25">
      <c r="A37" s="2"/>
      <c r="B37" s="2"/>
      <c r="C37" s="2"/>
      <c r="D37" s="2"/>
      <c r="E37" s="2"/>
      <c r="F37" s="2"/>
      <c r="G37" s="2"/>
      <c r="H37" s="2"/>
      <c r="I37" s="2"/>
      <c r="J37" s="2"/>
      <c r="K37" s="2"/>
      <c r="L37" s="148"/>
      <c r="M37" s="89"/>
      <c r="N37" s="89"/>
      <c r="O37" s="89"/>
      <c r="P37" s="89"/>
      <c r="Q37" s="89"/>
      <c r="R37" s="89"/>
      <c r="S37" s="89"/>
      <c r="T37" s="89"/>
      <c r="U37" s="89"/>
      <c r="V37" s="89"/>
      <c r="W37" s="88"/>
      <c r="X37" s="89"/>
      <c r="Y37" s="89"/>
      <c r="Z37" s="89"/>
      <c r="AA37" s="89"/>
      <c r="AB37" s="89"/>
      <c r="AC37" s="89"/>
      <c r="AD37" s="89"/>
      <c r="AE37" s="89"/>
      <c r="AF37" s="89"/>
      <c r="AG37" s="89"/>
      <c r="AH37" s="89"/>
      <c r="AI37" s="85"/>
      <c r="AJ37" s="85"/>
      <c r="AK37" s="85"/>
      <c r="AL37" s="85"/>
      <c r="AM37" s="85"/>
      <c r="AN37" s="85"/>
      <c r="AO37" s="85"/>
      <c r="AP37" s="85"/>
      <c r="AQ37" s="85"/>
      <c r="AR37" s="85"/>
      <c r="AS37" s="85"/>
      <c r="AT37" s="85"/>
      <c r="AU37" s="85"/>
      <c r="AV37" s="85"/>
      <c r="AW37" s="85"/>
      <c r="AX37" s="85"/>
      <c r="AY37" s="85"/>
      <c r="AZ37" s="85"/>
    </row>
    <row r="38" spans="1:52" s="86" customFormat="1" ht="24" customHeight="1" x14ac:dyDescent="0.25">
      <c r="A38" s="2"/>
      <c r="B38" s="2"/>
      <c r="C38" s="2"/>
      <c r="D38" s="2"/>
      <c r="E38" s="2"/>
      <c r="F38" s="2"/>
      <c r="G38" s="2"/>
      <c r="H38" s="2"/>
      <c r="I38" s="2"/>
      <c r="J38" s="2"/>
      <c r="K38" s="2"/>
      <c r="L38" s="148"/>
      <c r="M38" s="89"/>
      <c r="N38" s="89"/>
      <c r="O38" s="89"/>
      <c r="P38" s="89"/>
      <c r="Q38" s="89"/>
      <c r="R38" s="89"/>
      <c r="S38" s="89"/>
      <c r="T38" s="89"/>
      <c r="U38" s="89"/>
      <c r="V38" s="89"/>
      <c r="W38" s="88"/>
      <c r="X38" s="89"/>
      <c r="Y38" s="89"/>
      <c r="Z38" s="89"/>
      <c r="AA38" s="89"/>
      <c r="AB38" s="89"/>
      <c r="AC38" s="89"/>
      <c r="AD38" s="89"/>
      <c r="AE38" s="89"/>
      <c r="AF38" s="89"/>
      <c r="AG38" s="89"/>
      <c r="AH38" s="89"/>
      <c r="AI38" s="85"/>
      <c r="AJ38" s="85"/>
      <c r="AK38" s="85"/>
      <c r="AL38" s="85"/>
      <c r="AM38" s="85"/>
      <c r="AN38" s="85"/>
      <c r="AO38" s="85"/>
      <c r="AP38" s="85"/>
      <c r="AQ38" s="85"/>
      <c r="AR38" s="85"/>
      <c r="AS38" s="85"/>
      <c r="AT38" s="85"/>
      <c r="AU38" s="85"/>
      <c r="AV38" s="85"/>
      <c r="AW38" s="85"/>
      <c r="AX38" s="85"/>
      <c r="AY38" s="85"/>
      <c r="AZ38" s="85"/>
    </row>
    <row r="39" spans="1:52" s="86" customFormat="1" ht="24" customHeight="1" x14ac:dyDescent="0.25">
      <c r="A39" s="2"/>
      <c r="B39" s="2"/>
      <c r="C39" s="2"/>
      <c r="D39" s="2"/>
      <c r="E39" s="2"/>
      <c r="F39" s="2"/>
      <c r="G39" s="2"/>
      <c r="H39" s="2"/>
      <c r="I39" s="2"/>
      <c r="J39" s="2"/>
      <c r="K39" s="2"/>
      <c r="L39" s="148"/>
      <c r="M39" s="89"/>
      <c r="N39" s="89"/>
      <c r="O39" s="89"/>
      <c r="P39" s="89"/>
      <c r="Q39" s="89"/>
      <c r="R39" s="89"/>
      <c r="S39" s="89"/>
      <c r="T39" s="89"/>
      <c r="U39" s="89"/>
      <c r="V39" s="89"/>
      <c r="W39" s="88"/>
      <c r="X39" s="89"/>
      <c r="Y39" s="89"/>
      <c r="Z39" s="89"/>
      <c r="AA39" s="89"/>
      <c r="AB39" s="89"/>
      <c r="AC39" s="89"/>
      <c r="AD39" s="89"/>
      <c r="AE39" s="89"/>
      <c r="AF39" s="89"/>
      <c r="AG39" s="89"/>
      <c r="AH39" s="89"/>
      <c r="AI39" s="85"/>
      <c r="AJ39" s="85"/>
      <c r="AK39" s="85"/>
      <c r="AL39" s="85"/>
      <c r="AM39" s="85"/>
      <c r="AN39" s="85"/>
      <c r="AO39" s="85"/>
      <c r="AP39" s="85"/>
      <c r="AQ39" s="85"/>
      <c r="AR39" s="85"/>
      <c r="AS39" s="85"/>
      <c r="AT39" s="85"/>
      <c r="AU39" s="85"/>
      <c r="AV39" s="85"/>
      <c r="AW39" s="85"/>
      <c r="AX39" s="85"/>
      <c r="AY39" s="85"/>
      <c r="AZ39" s="85"/>
    </row>
    <row r="40" spans="1:52" s="86" customFormat="1" ht="24" customHeight="1" x14ac:dyDescent="0.25">
      <c r="A40" s="2"/>
      <c r="B40" s="2"/>
      <c r="C40" s="2"/>
      <c r="D40" s="2"/>
      <c r="E40" s="2"/>
      <c r="F40" s="2"/>
      <c r="G40" s="2"/>
      <c r="H40" s="2"/>
      <c r="I40" s="2"/>
      <c r="J40" s="2"/>
      <c r="K40" s="2"/>
      <c r="L40" s="148"/>
      <c r="M40" s="89"/>
      <c r="N40" s="89"/>
      <c r="O40" s="89"/>
      <c r="P40" s="89"/>
      <c r="Q40" s="89"/>
      <c r="R40" s="89"/>
      <c r="S40" s="89"/>
      <c r="T40" s="89"/>
      <c r="U40" s="89"/>
      <c r="V40" s="89"/>
      <c r="W40" s="88"/>
      <c r="X40" s="89"/>
      <c r="Y40" s="89"/>
      <c r="Z40" s="89"/>
      <c r="AA40" s="89"/>
      <c r="AB40" s="89"/>
      <c r="AC40" s="89"/>
      <c r="AD40" s="89"/>
      <c r="AE40" s="89"/>
      <c r="AF40" s="89"/>
      <c r="AG40" s="89"/>
      <c r="AH40" s="89"/>
      <c r="AI40" s="85"/>
      <c r="AJ40" s="85"/>
      <c r="AK40" s="85"/>
      <c r="AL40" s="85"/>
      <c r="AM40" s="85"/>
      <c r="AN40" s="85"/>
      <c r="AO40" s="85"/>
      <c r="AP40" s="85"/>
      <c r="AQ40" s="85"/>
      <c r="AR40" s="85"/>
      <c r="AS40" s="85"/>
      <c r="AT40" s="85"/>
      <c r="AU40" s="85"/>
      <c r="AV40" s="85"/>
      <c r="AW40" s="85"/>
      <c r="AX40" s="85"/>
      <c r="AY40" s="85"/>
      <c r="AZ40" s="85"/>
    </row>
    <row r="41" spans="1:52" s="86" customFormat="1" ht="24" customHeight="1" x14ac:dyDescent="0.25">
      <c r="A41" s="2"/>
      <c r="B41" s="2"/>
      <c r="C41" s="2"/>
      <c r="D41" s="2"/>
      <c r="E41" s="2"/>
      <c r="F41" s="2"/>
      <c r="G41" s="2"/>
      <c r="H41" s="2"/>
      <c r="I41" s="2"/>
      <c r="J41" s="2"/>
      <c r="K41" s="2"/>
      <c r="L41" s="148"/>
      <c r="M41" s="89"/>
      <c r="N41" s="89"/>
      <c r="O41" s="89"/>
      <c r="P41" s="89"/>
      <c r="Q41" s="89"/>
      <c r="R41" s="89"/>
      <c r="S41" s="89"/>
      <c r="T41" s="89"/>
      <c r="U41" s="89"/>
      <c r="V41" s="89"/>
      <c r="W41" s="88"/>
      <c r="X41" s="89"/>
      <c r="Y41" s="89"/>
      <c r="Z41" s="89"/>
      <c r="AA41" s="89"/>
      <c r="AB41" s="89"/>
      <c r="AC41" s="89"/>
      <c r="AD41" s="89"/>
      <c r="AE41" s="89"/>
      <c r="AF41" s="89"/>
      <c r="AG41" s="89"/>
      <c r="AH41" s="89"/>
      <c r="AI41" s="85"/>
      <c r="AJ41" s="85"/>
      <c r="AK41" s="85"/>
      <c r="AL41" s="85"/>
      <c r="AM41" s="85"/>
      <c r="AN41" s="85"/>
      <c r="AO41" s="85"/>
      <c r="AP41" s="85"/>
      <c r="AQ41" s="85"/>
      <c r="AR41" s="85"/>
      <c r="AS41" s="85"/>
      <c r="AT41" s="85"/>
      <c r="AU41" s="85"/>
      <c r="AV41" s="85"/>
      <c r="AW41" s="85"/>
      <c r="AX41" s="85"/>
      <c r="AY41" s="85"/>
      <c r="AZ41" s="85"/>
    </row>
    <row r="42" spans="1:52" s="86" customFormat="1" ht="24" customHeight="1" x14ac:dyDescent="0.25">
      <c r="A42" s="2"/>
      <c r="B42" s="2"/>
      <c r="C42" s="2"/>
      <c r="D42" s="2"/>
      <c r="E42" s="2"/>
      <c r="F42" s="2"/>
      <c r="G42" s="2"/>
      <c r="H42" s="2"/>
      <c r="I42" s="2"/>
      <c r="J42" s="2"/>
      <c r="K42" s="2"/>
      <c r="L42" s="148"/>
      <c r="M42" s="89"/>
      <c r="N42" s="89"/>
      <c r="O42" s="89"/>
      <c r="P42" s="89"/>
      <c r="Q42" s="89"/>
      <c r="R42" s="89"/>
      <c r="S42" s="89"/>
      <c r="T42" s="89"/>
      <c r="U42" s="89"/>
      <c r="V42" s="89"/>
      <c r="W42" s="88"/>
      <c r="X42" s="89"/>
      <c r="Y42" s="89"/>
      <c r="Z42" s="89"/>
      <c r="AA42" s="89"/>
      <c r="AB42" s="89"/>
      <c r="AC42" s="89"/>
      <c r="AD42" s="89"/>
      <c r="AE42" s="89"/>
      <c r="AF42" s="89"/>
      <c r="AG42" s="89"/>
      <c r="AH42" s="89"/>
      <c r="AI42" s="85"/>
      <c r="AJ42" s="85"/>
      <c r="AK42" s="85"/>
      <c r="AL42" s="85"/>
      <c r="AM42" s="85"/>
      <c r="AN42" s="85"/>
      <c r="AO42" s="85"/>
      <c r="AP42" s="85"/>
      <c r="AQ42" s="85"/>
      <c r="AR42" s="85"/>
      <c r="AS42" s="85"/>
      <c r="AT42" s="85"/>
      <c r="AU42" s="85"/>
      <c r="AV42" s="85"/>
      <c r="AW42" s="85"/>
      <c r="AX42" s="85"/>
      <c r="AY42" s="85"/>
      <c r="AZ42" s="85"/>
    </row>
    <row r="43" spans="1:52" s="86" customFormat="1" ht="24" customHeight="1" x14ac:dyDescent="0.25">
      <c r="A43" s="2"/>
      <c r="B43" s="2"/>
      <c r="C43" s="2"/>
      <c r="D43" s="2"/>
      <c r="E43" s="2"/>
      <c r="F43" s="2"/>
      <c r="G43" s="2"/>
      <c r="H43" s="2"/>
      <c r="I43" s="2"/>
      <c r="J43" s="2"/>
      <c r="K43" s="2"/>
      <c r="L43" s="148"/>
      <c r="M43" s="89"/>
      <c r="N43" s="89"/>
      <c r="O43" s="89"/>
      <c r="P43" s="89"/>
      <c r="Q43" s="89"/>
      <c r="R43" s="89"/>
      <c r="S43" s="89"/>
      <c r="T43" s="89"/>
      <c r="U43" s="89"/>
      <c r="V43" s="89"/>
      <c r="W43" s="88"/>
      <c r="X43" s="89"/>
      <c r="Y43" s="89"/>
      <c r="Z43" s="89"/>
      <c r="AA43" s="89"/>
      <c r="AB43" s="89"/>
      <c r="AC43" s="89"/>
      <c r="AD43" s="89"/>
      <c r="AE43" s="89"/>
      <c r="AF43" s="89"/>
      <c r="AG43" s="89"/>
      <c r="AH43" s="89"/>
      <c r="AI43" s="85"/>
      <c r="AJ43" s="85"/>
      <c r="AK43" s="85"/>
      <c r="AL43" s="85"/>
      <c r="AM43" s="85"/>
      <c r="AN43" s="85"/>
      <c r="AO43" s="85"/>
      <c r="AP43" s="85"/>
      <c r="AQ43" s="85"/>
      <c r="AR43" s="85"/>
      <c r="AS43" s="85"/>
      <c r="AT43" s="85"/>
      <c r="AU43" s="85"/>
      <c r="AV43" s="85"/>
      <c r="AW43" s="85"/>
      <c r="AX43" s="85"/>
      <c r="AY43" s="85"/>
      <c r="AZ43" s="85"/>
    </row>
    <row r="44" spans="1:52" s="86" customFormat="1" ht="24" customHeight="1" x14ac:dyDescent="0.25">
      <c r="A44" s="2"/>
      <c r="B44" s="2"/>
      <c r="C44" s="2"/>
      <c r="D44" s="2"/>
      <c r="E44" s="2"/>
      <c r="F44" s="2"/>
      <c r="G44" s="2"/>
      <c r="H44" s="2"/>
      <c r="I44" s="2"/>
      <c r="J44" s="2"/>
      <c r="K44" s="2"/>
      <c r="L44" s="148"/>
      <c r="M44" s="89"/>
      <c r="N44" s="89"/>
      <c r="O44" s="89"/>
      <c r="P44" s="89"/>
      <c r="Q44" s="89"/>
      <c r="R44" s="89"/>
      <c r="S44" s="89"/>
      <c r="T44" s="89"/>
      <c r="U44" s="89"/>
      <c r="V44" s="89"/>
      <c r="W44" s="88"/>
      <c r="X44" s="89"/>
      <c r="Y44" s="89"/>
      <c r="Z44" s="89"/>
      <c r="AA44" s="89"/>
      <c r="AB44" s="89"/>
      <c r="AC44" s="89"/>
      <c r="AD44" s="89"/>
      <c r="AE44" s="89"/>
      <c r="AF44" s="89"/>
      <c r="AG44" s="89"/>
      <c r="AH44" s="89"/>
      <c r="AI44" s="85"/>
      <c r="AJ44" s="85"/>
      <c r="AK44" s="85"/>
      <c r="AL44" s="85"/>
      <c r="AM44" s="85"/>
      <c r="AN44" s="85"/>
      <c r="AO44" s="85"/>
      <c r="AP44" s="85"/>
      <c r="AQ44" s="85"/>
      <c r="AR44" s="85"/>
      <c r="AS44" s="85"/>
      <c r="AT44" s="85"/>
      <c r="AU44" s="85"/>
      <c r="AV44" s="85"/>
      <c r="AW44" s="85"/>
      <c r="AX44" s="85"/>
      <c r="AY44" s="85"/>
      <c r="AZ44" s="85"/>
    </row>
    <row r="45" spans="1:52" s="86" customFormat="1" x14ac:dyDescent="0.25">
      <c r="A45" s="2"/>
      <c r="B45" s="2"/>
      <c r="C45" s="2"/>
      <c r="D45" s="2"/>
      <c r="E45" s="2"/>
      <c r="F45" s="2"/>
      <c r="G45" s="2"/>
      <c r="H45" s="2"/>
      <c r="I45" s="2"/>
      <c r="J45" s="2"/>
      <c r="K45" s="2"/>
      <c r="L45" s="148"/>
      <c r="M45" s="89"/>
      <c r="N45" s="89"/>
      <c r="O45" s="89"/>
      <c r="P45" s="89"/>
      <c r="Q45" s="89"/>
      <c r="R45" s="89"/>
      <c r="S45" s="89"/>
      <c r="T45" s="89"/>
      <c r="U45" s="89"/>
      <c r="V45" s="89"/>
      <c r="W45" s="88"/>
      <c r="X45" s="89"/>
      <c r="Y45" s="89"/>
      <c r="Z45" s="89"/>
      <c r="AA45" s="89"/>
      <c r="AB45" s="89"/>
      <c r="AC45" s="89"/>
      <c r="AD45" s="89"/>
      <c r="AE45" s="89"/>
      <c r="AF45" s="89"/>
      <c r="AG45" s="89"/>
      <c r="AH45" s="89"/>
      <c r="AI45" s="85"/>
      <c r="AJ45" s="85"/>
      <c r="AK45" s="85"/>
      <c r="AL45" s="85"/>
      <c r="AM45" s="85"/>
      <c r="AN45" s="85"/>
      <c r="AO45" s="85"/>
      <c r="AP45" s="85"/>
      <c r="AQ45" s="85"/>
      <c r="AR45" s="85"/>
      <c r="AS45" s="85"/>
      <c r="AT45" s="85"/>
      <c r="AU45" s="85"/>
      <c r="AV45" s="85"/>
      <c r="AW45" s="85"/>
      <c r="AX45" s="85"/>
      <c r="AY45" s="85"/>
      <c r="AZ45" s="85"/>
    </row>
    <row r="46" spans="1:52" s="86" customFormat="1" ht="105.75" customHeight="1" x14ac:dyDescent="0.25">
      <c r="A46" s="2"/>
      <c r="B46" s="2"/>
      <c r="C46" s="2"/>
      <c r="D46" s="2"/>
      <c r="E46" s="2"/>
      <c r="F46" s="2"/>
      <c r="G46" s="2"/>
      <c r="H46" s="2"/>
      <c r="I46" s="2"/>
      <c r="J46" s="2"/>
      <c r="K46" s="2"/>
      <c r="L46" s="148"/>
      <c r="M46" s="89"/>
      <c r="N46" s="89"/>
      <c r="O46" s="89"/>
      <c r="P46" s="89"/>
      <c r="Q46" s="89"/>
      <c r="R46" s="89"/>
      <c r="S46" s="89"/>
      <c r="T46" s="89"/>
      <c r="U46" s="89"/>
      <c r="V46" s="89"/>
      <c r="W46" s="88"/>
      <c r="X46" s="89"/>
      <c r="Y46" s="89"/>
      <c r="Z46" s="89"/>
      <c r="AA46" s="89"/>
      <c r="AB46" s="89"/>
      <c r="AC46" s="89"/>
      <c r="AD46" s="89"/>
      <c r="AE46" s="89"/>
      <c r="AF46" s="89"/>
      <c r="AG46" s="89"/>
      <c r="AH46" s="89"/>
      <c r="AI46" s="85"/>
      <c r="AJ46" s="85"/>
      <c r="AK46" s="85"/>
      <c r="AL46" s="85"/>
      <c r="AM46" s="85"/>
      <c r="AN46" s="85"/>
      <c r="AO46" s="85"/>
      <c r="AP46" s="85"/>
      <c r="AQ46" s="85"/>
      <c r="AR46" s="85"/>
      <c r="AS46" s="85"/>
      <c r="AT46" s="85"/>
      <c r="AU46" s="85"/>
      <c r="AV46" s="85"/>
      <c r="AW46" s="85"/>
      <c r="AX46" s="85"/>
      <c r="AY46" s="85"/>
      <c r="AZ46" s="85"/>
    </row>
    <row r="47" spans="1:52" s="85" customFormat="1" ht="18.75" customHeight="1" x14ac:dyDescent="0.25">
      <c r="M47" s="89"/>
      <c r="N47" s="89"/>
      <c r="O47" s="89"/>
      <c r="P47" s="89"/>
      <c r="Q47" s="89"/>
      <c r="R47" s="89"/>
      <c r="S47" s="89"/>
      <c r="T47" s="89"/>
      <c r="U47" s="89"/>
      <c r="V47" s="89"/>
      <c r="W47" s="88"/>
      <c r="X47" s="89"/>
      <c r="Y47" s="89"/>
      <c r="Z47" s="89"/>
      <c r="AA47" s="89"/>
      <c r="AB47" s="89"/>
      <c r="AC47" s="89"/>
      <c r="AD47" s="89"/>
      <c r="AE47" s="89"/>
      <c r="AF47" s="89"/>
      <c r="AG47" s="89"/>
      <c r="AH47" s="89"/>
    </row>
    <row r="48" spans="1:52" s="85" customFormat="1" x14ac:dyDescent="0.25">
      <c r="M48" s="89"/>
      <c r="N48" s="89"/>
      <c r="O48" s="89"/>
      <c r="P48" s="89"/>
      <c r="Q48" s="89"/>
      <c r="R48" s="89"/>
      <c r="S48" s="89"/>
      <c r="T48" s="89"/>
      <c r="U48" s="89"/>
      <c r="V48" s="89"/>
      <c r="W48" s="88"/>
      <c r="X48" s="89"/>
      <c r="Y48" s="89"/>
      <c r="Z48" s="89"/>
      <c r="AA48" s="89"/>
      <c r="AB48" s="89"/>
      <c r="AC48" s="89"/>
      <c r="AD48" s="89"/>
      <c r="AE48" s="89"/>
      <c r="AF48" s="89"/>
      <c r="AG48" s="89"/>
      <c r="AH48" s="89"/>
    </row>
    <row r="49" spans="12:34" s="85" customFormat="1" x14ac:dyDescent="0.25">
      <c r="M49" s="89"/>
      <c r="N49" s="89"/>
      <c r="O49" s="89"/>
      <c r="P49" s="89"/>
      <c r="Q49" s="89"/>
      <c r="R49" s="89"/>
      <c r="S49" s="89"/>
      <c r="T49" s="89"/>
      <c r="U49" s="89"/>
      <c r="V49" s="89"/>
      <c r="W49" s="88"/>
      <c r="X49" s="89"/>
      <c r="Y49" s="89"/>
      <c r="Z49" s="89"/>
      <c r="AA49" s="89"/>
      <c r="AB49" s="89"/>
      <c r="AC49" s="89"/>
      <c r="AD49" s="89"/>
      <c r="AE49" s="89"/>
      <c r="AF49" s="89"/>
      <c r="AG49" s="89"/>
      <c r="AH49" s="89"/>
    </row>
    <row r="50" spans="12:34" s="85" customFormat="1" x14ac:dyDescent="0.25">
      <c r="M50" s="89"/>
      <c r="N50" s="89"/>
      <c r="O50" s="89"/>
      <c r="P50" s="89"/>
      <c r="Q50" s="89"/>
      <c r="R50" s="89"/>
      <c r="S50" s="89"/>
      <c r="T50" s="89"/>
      <c r="U50" s="89"/>
      <c r="V50" s="89"/>
      <c r="W50" s="88"/>
      <c r="X50" s="89"/>
      <c r="Y50" s="89"/>
      <c r="Z50" s="89"/>
      <c r="AA50" s="89"/>
      <c r="AB50" s="89"/>
      <c r="AC50" s="89"/>
      <c r="AD50" s="89"/>
      <c r="AE50" s="89"/>
      <c r="AF50" s="89"/>
      <c r="AG50" s="89"/>
      <c r="AH50" s="89"/>
    </row>
    <row r="51" spans="12:34" s="85" customFormat="1" x14ac:dyDescent="0.25">
      <c r="M51" s="89"/>
      <c r="N51" s="89"/>
      <c r="O51" s="89"/>
      <c r="P51" s="89"/>
      <c r="Q51" s="89"/>
      <c r="R51" s="89"/>
      <c r="S51" s="89"/>
      <c r="T51" s="89"/>
      <c r="U51" s="89"/>
      <c r="V51" s="89"/>
      <c r="W51" s="88"/>
      <c r="X51" s="89"/>
      <c r="Y51" s="89"/>
      <c r="Z51" s="89"/>
      <c r="AA51" s="89"/>
      <c r="AB51" s="89"/>
      <c r="AC51" s="89"/>
      <c r="AD51" s="89"/>
      <c r="AE51" s="89"/>
      <c r="AF51" s="89"/>
      <c r="AG51" s="89"/>
      <c r="AH51" s="89"/>
    </row>
    <row r="52" spans="12:34" s="85" customFormat="1" x14ac:dyDescent="0.25">
      <c r="M52" s="89"/>
      <c r="N52" s="89"/>
      <c r="O52" s="89"/>
      <c r="P52" s="89"/>
      <c r="Q52" s="89"/>
      <c r="R52" s="89"/>
      <c r="S52" s="89"/>
      <c r="T52" s="89"/>
      <c r="U52" s="89"/>
      <c r="V52" s="89"/>
      <c r="W52" s="88"/>
      <c r="X52" s="89"/>
      <c r="Y52" s="89"/>
      <c r="Z52" s="89"/>
      <c r="AA52" s="89"/>
      <c r="AB52" s="89"/>
      <c r="AC52" s="89"/>
      <c r="AD52" s="89"/>
      <c r="AE52" s="89"/>
      <c r="AF52" s="89"/>
      <c r="AG52" s="89"/>
      <c r="AH52" s="89"/>
    </row>
    <row r="53" spans="12:34" s="85" customFormat="1" x14ac:dyDescent="0.25">
      <c r="M53" s="89"/>
      <c r="N53" s="89"/>
      <c r="O53" s="89"/>
      <c r="P53" s="89"/>
      <c r="Q53" s="89"/>
      <c r="R53" s="89"/>
      <c r="S53" s="89"/>
      <c r="T53" s="89"/>
      <c r="U53" s="89"/>
      <c r="V53" s="89"/>
      <c r="W53" s="88"/>
      <c r="X53" s="89"/>
      <c r="Y53" s="89"/>
      <c r="Z53" s="89"/>
      <c r="AA53" s="89"/>
      <c r="AB53" s="89"/>
      <c r="AC53" s="89"/>
      <c r="AD53" s="89"/>
      <c r="AE53" s="89"/>
      <c r="AF53" s="89"/>
      <c r="AG53" s="89"/>
      <c r="AH53" s="89"/>
    </row>
    <row r="54" spans="12:34" s="85" customFormat="1" x14ac:dyDescent="0.25">
      <c r="M54" s="89"/>
      <c r="N54" s="89"/>
      <c r="O54" s="89"/>
      <c r="P54" s="89"/>
      <c r="Q54" s="89"/>
      <c r="R54" s="89"/>
      <c r="S54" s="89"/>
      <c r="T54" s="89"/>
      <c r="U54" s="89"/>
      <c r="V54" s="89"/>
      <c r="W54" s="88"/>
      <c r="X54" s="89"/>
      <c r="Y54" s="89"/>
      <c r="Z54" s="89"/>
      <c r="AA54" s="89"/>
      <c r="AB54" s="89"/>
      <c r="AC54" s="89"/>
      <c r="AD54" s="89"/>
      <c r="AE54" s="89"/>
      <c r="AF54" s="89"/>
      <c r="AG54" s="89"/>
      <c r="AH54" s="89"/>
    </row>
    <row r="55" spans="12:34" s="85" customFormat="1" x14ac:dyDescent="0.25">
      <c r="M55" s="89"/>
      <c r="N55" s="89"/>
      <c r="O55" s="89"/>
      <c r="P55" s="89"/>
      <c r="Q55" s="89"/>
      <c r="R55" s="89"/>
      <c r="S55" s="89"/>
      <c r="T55" s="89"/>
      <c r="U55" s="89"/>
      <c r="V55" s="89"/>
      <c r="W55" s="88"/>
      <c r="X55" s="89"/>
      <c r="Y55" s="89"/>
      <c r="Z55" s="89"/>
      <c r="AA55" s="89"/>
      <c r="AB55" s="89"/>
      <c r="AC55" s="89"/>
      <c r="AD55" s="89"/>
      <c r="AE55" s="89"/>
      <c r="AF55" s="89"/>
      <c r="AG55" s="89"/>
      <c r="AH55" s="89"/>
    </row>
    <row r="56" spans="12:34" s="85" customFormat="1" x14ac:dyDescent="0.25">
      <c r="M56" s="89"/>
      <c r="N56" s="89"/>
      <c r="O56" s="89"/>
      <c r="P56" s="89"/>
      <c r="Q56" s="89"/>
      <c r="R56" s="89"/>
      <c r="S56" s="89"/>
      <c r="T56" s="89"/>
      <c r="U56" s="89"/>
      <c r="V56" s="89"/>
      <c r="W56" s="88"/>
      <c r="X56" s="89"/>
      <c r="Y56" s="89"/>
      <c r="Z56" s="89"/>
      <c r="AA56" s="89"/>
      <c r="AB56" s="89"/>
      <c r="AC56" s="89"/>
      <c r="AD56" s="89"/>
      <c r="AE56" s="89"/>
      <c r="AF56" s="89"/>
      <c r="AG56" s="89"/>
      <c r="AH56" s="89"/>
    </row>
    <row r="57" spans="12:34" s="85" customFormat="1" x14ac:dyDescent="0.25">
      <c r="L57" s="89"/>
      <c r="M57" s="89"/>
      <c r="N57" s="89"/>
      <c r="O57" s="89"/>
      <c r="P57" s="89"/>
      <c r="Q57" s="89"/>
      <c r="R57" s="89"/>
      <c r="S57" s="89"/>
      <c r="T57" s="89"/>
      <c r="U57" s="89"/>
      <c r="V57" s="89"/>
      <c r="W57" s="88"/>
      <c r="X57" s="89"/>
      <c r="Y57" s="89"/>
      <c r="Z57" s="89"/>
      <c r="AA57" s="89"/>
      <c r="AB57" s="89"/>
      <c r="AC57" s="89"/>
      <c r="AD57" s="89"/>
      <c r="AE57" s="89"/>
      <c r="AF57" s="89"/>
      <c r="AG57" s="89"/>
      <c r="AH57" s="89"/>
    </row>
    <row r="58" spans="12:34" s="85" customFormat="1" x14ac:dyDescent="0.25">
      <c r="L58" s="89"/>
      <c r="M58" s="89"/>
      <c r="N58" s="89"/>
      <c r="O58" s="89"/>
      <c r="P58" s="89"/>
      <c r="Q58" s="89"/>
      <c r="R58" s="89"/>
      <c r="S58" s="89"/>
      <c r="T58" s="89"/>
      <c r="U58" s="89"/>
      <c r="V58" s="89"/>
      <c r="W58" s="88"/>
      <c r="X58" s="89"/>
      <c r="Y58" s="89"/>
      <c r="Z58" s="89"/>
      <c r="AA58" s="89"/>
      <c r="AB58" s="89"/>
      <c r="AC58" s="89"/>
      <c r="AD58" s="89"/>
      <c r="AE58" s="89"/>
      <c r="AF58" s="89"/>
      <c r="AG58" s="89"/>
      <c r="AH58" s="89"/>
    </row>
    <row r="59" spans="12:34" s="85" customFormat="1" hidden="1" x14ac:dyDescent="0.25">
      <c r="L59" s="89"/>
      <c r="M59" s="89"/>
      <c r="N59" s="89"/>
      <c r="O59" s="89"/>
      <c r="P59" s="89"/>
      <c r="Q59" s="89"/>
      <c r="R59" s="89"/>
      <c r="S59" s="89"/>
      <c r="T59" s="89"/>
      <c r="U59" s="89"/>
      <c r="V59" s="89"/>
      <c r="W59" s="88"/>
      <c r="X59" s="89"/>
      <c r="Y59" s="89"/>
      <c r="Z59" s="89"/>
      <c r="AA59" s="89"/>
      <c r="AB59" s="89"/>
      <c r="AC59" s="89"/>
      <c r="AD59" s="89"/>
      <c r="AE59" s="89"/>
      <c r="AF59" s="89"/>
      <c r="AG59" s="89"/>
      <c r="AH59" s="89"/>
    </row>
    <row r="60" spans="12:34" s="85" customFormat="1" x14ac:dyDescent="0.25">
      <c r="L60" s="89"/>
      <c r="M60" s="89"/>
      <c r="N60" s="89"/>
      <c r="O60" s="89"/>
      <c r="P60" s="89"/>
      <c r="Q60" s="89"/>
      <c r="R60" s="89"/>
      <c r="S60" s="89"/>
      <c r="T60" s="89"/>
      <c r="U60" s="89"/>
      <c r="V60" s="89"/>
      <c r="W60" s="88"/>
      <c r="X60" s="89"/>
      <c r="Y60" s="89"/>
      <c r="Z60" s="89"/>
      <c r="AA60" s="89"/>
      <c r="AB60" s="89"/>
      <c r="AC60" s="89"/>
      <c r="AD60" s="89"/>
      <c r="AE60" s="89"/>
      <c r="AF60" s="89"/>
      <c r="AG60" s="89"/>
      <c r="AH60" s="89"/>
    </row>
    <row r="61" spans="12:34" s="85" customFormat="1" x14ac:dyDescent="0.25">
      <c r="L61" s="89"/>
      <c r="M61" s="89"/>
      <c r="N61" s="89"/>
      <c r="O61" s="89"/>
      <c r="P61" s="89"/>
      <c r="Q61" s="89"/>
      <c r="R61" s="89"/>
      <c r="S61" s="89"/>
      <c r="T61" s="89"/>
      <c r="U61" s="89"/>
      <c r="V61" s="89"/>
      <c r="W61" s="88"/>
      <c r="X61" s="89"/>
      <c r="Y61" s="89"/>
      <c r="Z61" s="89"/>
      <c r="AA61" s="89"/>
      <c r="AB61" s="89"/>
      <c r="AC61" s="89"/>
      <c r="AD61" s="89"/>
      <c r="AE61" s="89"/>
      <c r="AF61" s="89"/>
      <c r="AG61" s="89"/>
      <c r="AH61" s="89"/>
    </row>
    <row r="62" spans="12:34" s="85" customFormat="1" x14ac:dyDescent="0.25">
      <c r="L62" s="89"/>
      <c r="M62" s="89"/>
      <c r="N62" s="89"/>
      <c r="O62" s="89"/>
      <c r="P62" s="89"/>
      <c r="Q62" s="89"/>
      <c r="R62" s="89"/>
      <c r="S62" s="89"/>
      <c r="T62" s="89"/>
      <c r="U62" s="89"/>
      <c r="V62" s="89"/>
      <c r="W62" s="88"/>
      <c r="X62" s="89"/>
      <c r="Y62" s="89"/>
      <c r="Z62" s="89"/>
      <c r="AA62" s="89"/>
      <c r="AB62" s="89"/>
      <c r="AC62" s="89"/>
      <c r="AD62" s="89"/>
      <c r="AE62" s="89"/>
      <c r="AF62" s="89"/>
      <c r="AG62" s="89"/>
      <c r="AH62" s="89"/>
    </row>
    <row r="63" spans="12:34" s="85" customFormat="1" x14ac:dyDescent="0.25">
      <c r="L63" s="89"/>
      <c r="M63" s="89"/>
      <c r="N63" s="89"/>
      <c r="O63" s="89"/>
      <c r="P63" s="89"/>
      <c r="Q63" s="89"/>
      <c r="R63" s="89"/>
      <c r="S63" s="89"/>
      <c r="T63" s="89"/>
      <c r="U63" s="89"/>
      <c r="V63" s="89"/>
      <c r="W63" s="88"/>
      <c r="X63" s="89"/>
      <c r="Y63" s="89"/>
      <c r="Z63" s="89"/>
      <c r="AA63" s="89"/>
      <c r="AB63" s="89"/>
      <c r="AC63" s="89"/>
      <c r="AD63" s="89"/>
      <c r="AE63" s="89"/>
      <c r="AF63" s="89"/>
      <c r="AG63" s="89"/>
      <c r="AH63" s="89"/>
    </row>
    <row r="64" spans="12:34" s="85" customFormat="1" x14ac:dyDescent="0.25">
      <c r="L64" s="89"/>
      <c r="M64" s="89"/>
      <c r="N64" s="89"/>
      <c r="O64" s="89"/>
      <c r="P64" s="89"/>
      <c r="Q64" s="89"/>
      <c r="R64" s="89"/>
      <c r="S64" s="89"/>
      <c r="T64" s="89"/>
      <c r="U64" s="89"/>
      <c r="V64" s="89"/>
      <c r="W64" s="88"/>
      <c r="X64" s="89"/>
      <c r="Y64" s="89"/>
      <c r="Z64" s="89"/>
      <c r="AA64" s="89"/>
      <c r="AB64" s="89"/>
      <c r="AC64" s="89"/>
      <c r="AD64" s="89"/>
      <c r="AE64" s="89"/>
      <c r="AF64" s="89"/>
      <c r="AG64" s="89"/>
      <c r="AH64" s="89"/>
    </row>
    <row r="65" spans="12:34" s="85" customFormat="1" x14ac:dyDescent="0.25">
      <c r="L65" s="89"/>
      <c r="M65" s="89"/>
      <c r="N65" s="89"/>
      <c r="O65" s="89"/>
      <c r="P65" s="89"/>
      <c r="Q65" s="89"/>
      <c r="R65" s="89"/>
      <c r="S65" s="89"/>
      <c r="T65" s="89"/>
      <c r="U65" s="89"/>
      <c r="V65" s="89"/>
      <c r="W65" s="88"/>
      <c r="X65" s="89"/>
      <c r="Y65" s="89"/>
      <c r="Z65" s="89"/>
      <c r="AA65" s="89"/>
      <c r="AB65" s="89"/>
      <c r="AC65" s="89"/>
      <c r="AD65" s="89"/>
      <c r="AE65" s="89"/>
      <c r="AF65" s="89"/>
      <c r="AG65" s="89"/>
      <c r="AH65" s="89"/>
    </row>
    <row r="66" spans="12:34" s="85" customFormat="1" x14ac:dyDescent="0.25">
      <c r="L66" s="89"/>
      <c r="M66" s="89"/>
      <c r="N66" s="89"/>
      <c r="O66" s="89"/>
      <c r="P66" s="89"/>
      <c r="Q66" s="89"/>
      <c r="R66" s="89"/>
      <c r="S66" s="89"/>
      <c r="T66" s="89"/>
      <c r="U66" s="89"/>
      <c r="V66" s="89"/>
      <c r="W66" s="88"/>
      <c r="X66" s="89"/>
      <c r="Y66" s="89"/>
      <c r="Z66" s="89"/>
      <c r="AA66" s="89"/>
      <c r="AB66" s="89"/>
      <c r="AC66" s="89"/>
      <c r="AD66" s="89"/>
      <c r="AE66" s="89"/>
      <c r="AF66" s="89"/>
      <c r="AG66" s="89"/>
      <c r="AH66" s="89"/>
    </row>
    <row r="67" spans="12:34" s="85" customFormat="1" x14ac:dyDescent="0.25">
      <c r="L67" s="89"/>
      <c r="M67" s="89"/>
      <c r="N67" s="89"/>
      <c r="O67" s="89"/>
      <c r="P67" s="89"/>
      <c r="Q67" s="89"/>
      <c r="R67" s="89"/>
      <c r="S67" s="89"/>
      <c r="T67" s="89"/>
      <c r="U67" s="89"/>
      <c r="V67" s="89"/>
      <c r="W67" s="88"/>
      <c r="X67" s="89"/>
      <c r="Y67" s="89"/>
      <c r="Z67" s="89"/>
      <c r="AA67" s="89"/>
      <c r="AB67" s="89"/>
      <c r="AC67" s="89"/>
      <c r="AD67" s="89"/>
      <c r="AE67" s="89"/>
      <c r="AF67" s="89"/>
      <c r="AG67" s="89"/>
      <c r="AH67" s="89"/>
    </row>
    <row r="68" spans="12:34" s="85" customFormat="1" x14ac:dyDescent="0.25">
      <c r="L68" s="89"/>
      <c r="M68" s="89"/>
      <c r="N68" s="89"/>
      <c r="O68" s="89"/>
      <c r="P68" s="89"/>
      <c r="Q68" s="89"/>
      <c r="R68" s="89"/>
      <c r="S68" s="89"/>
      <c r="T68" s="89"/>
      <c r="U68" s="89"/>
      <c r="V68" s="89"/>
      <c r="W68" s="88"/>
      <c r="X68" s="89"/>
      <c r="Y68" s="89"/>
      <c r="Z68" s="89"/>
      <c r="AA68" s="89"/>
      <c r="AB68" s="89"/>
      <c r="AC68" s="89"/>
      <c r="AD68" s="89"/>
      <c r="AE68" s="89"/>
      <c r="AF68" s="89"/>
      <c r="AG68" s="89"/>
      <c r="AH68" s="89"/>
    </row>
    <row r="69" spans="12:34" s="85" customFormat="1" x14ac:dyDescent="0.25">
      <c r="L69" s="89"/>
      <c r="M69" s="89"/>
      <c r="N69" s="89"/>
      <c r="O69" s="89"/>
      <c r="P69" s="89"/>
      <c r="Q69" s="89"/>
      <c r="R69" s="89"/>
      <c r="S69" s="89"/>
      <c r="T69" s="89"/>
      <c r="U69" s="89"/>
      <c r="V69" s="89"/>
      <c r="W69" s="88"/>
      <c r="X69" s="89"/>
      <c r="Y69" s="89"/>
      <c r="Z69" s="89"/>
      <c r="AA69" s="89"/>
      <c r="AB69" s="89"/>
      <c r="AC69" s="89"/>
      <c r="AD69" s="89"/>
      <c r="AE69" s="89"/>
      <c r="AF69" s="89"/>
      <c r="AG69" s="89"/>
      <c r="AH69" s="89"/>
    </row>
    <row r="70" spans="12:34" s="85" customFormat="1" x14ac:dyDescent="0.25">
      <c r="L70" s="89"/>
      <c r="M70" s="89"/>
      <c r="N70" s="89"/>
      <c r="O70" s="89"/>
      <c r="P70" s="89"/>
      <c r="Q70" s="89"/>
      <c r="R70" s="89"/>
      <c r="S70" s="89"/>
      <c r="T70" s="89"/>
      <c r="U70" s="89"/>
      <c r="V70" s="89"/>
      <c r="W70" s="88"/>
      <c r="X70" s="89"/>
      <c r="Y70" s="89"/>
      <c r="Z70" s="89"/>
      <c r="AA70" s="89"/>
      <c r="AB70" s="89"/>
      <c r="AC70" s="89"/>
      <c r="AD70" s="89"/>
      <c r="AE70" s="89"/>
      <c r="AF70" s="89"/>
      <c r="AG70" s="89"/>
      <c r="AH70" s="89"/>
    </row>
    <row r="71" spans="12:34" s="85" customFormat="1" x14ac:dyDescent="0.25">
      <c r="L71" s="89"/>
      <c r="M71" s="89"/>
      <c r="N71" s="89"/>
      <c r="O71" s="89"/>
      <c r="P71" s="89"/>
      <c r="Q71" s="89"/>
      <c r="R71" s="89"/>
      <c r="S71" s="89"/>
      <c r="T71" s="89"/>
      <c r="U71" s="89"/>
      <c r="V71" s="89"/>
      <c r="W71" s="88"/>
      <c r="X71" s="89"/>
      <c r="Y71" s="89"/>
      <c r="Z71" s="89"/>
      <c r="AA71" s="89"/>
      <c r="AB71" s="89"/>
      <c r="AC71" s="89"/>
      <c r="AD71" s="89"/>
      <c r="AE71" s="89"/>
      <c r="AF71" s="89"/>
      <c r="AG71" s="89"/>
      <c r="AH71" s="89"/>
    </row>
    <row r="72" spans="12:34" s="85" customFormat="1" x14ac:dyDescent="0.25">
      <c r="L72" s="89"/>
      <c r="M72" s="89"/>
      <c r="N72" s="89"/>
      <c r="O72" s="89"/>
      <c r="P72" s="89"/>
      <c r="Q72" s="89"/>
      <c r="R72" s="89"/>
      <c r="S72" s="89"/>
      <c r="T72" s="89"/>
      <c r="U72" s="89"/>
      <c r="V72" s="89"/>
      <c r="W72" s="88"/>
      <c r="X72" s="89"/>
      <c r="Y72" s="89"/>
      <c r="Z72" s="89"/>
      <c r="AA72" s="89"/>
      <c r="AB72" s="89"/>
      <c r="AC72" s="89"/>
      <c r="AD72" s="89"/>
      <c r="AE72" s="89"/>
      <c r="AF72" s="89"/>
      <c r="AG72" s="89"/>
      <c r="AH72" s="89"/>
    </row>
    <row r="73" spans="12:34" s="85" customFormat="1" x14ac:dyDescent="0.25">
      <c r="L73" s="89"/>
      <c r="M73" s="89"/>
      <c r="N73" s="89"/>
      <c r="O73" s="89"/>
      <c r="P73" s="89"/>
      <c r="Q73" s="89"/>
      <c r="R73" s="89"/>
      <c r="S73" s="89"/>
      <c r="T73" s="89"/>
      <c r="U73" s="89"/>
      <c r="V73" s="89"/>
      <c r="W73" s="88"/>
      <c r="X73" s="89"/>
      <c r="Y73" s="89"/>
      <c r="Z73" s="89"/>
      <c r="AA73" s="89"/>
      <c r="AB73" s="89"/>
      <c r="AC73" s="89"/>
      <c r="AD73" s="89"/>
      <c r="AE73" s="89"/>
      <c r="AF73" s="89"/>
      <c r="AG73" s="89"/>
      <c r="AH73" s="89"/>
    </row>
    <row r="74" spans="12:34" s="85" customFormat="1" x14ac:dyDescent="0.25">
      <c r="L74" s="89"/>
      <c r="M74" s="89"/>
      <c r="N74" s="89"/>
      <c r="O74" s="89"/>
      <c r="P74" s="89"/>
      <c r="Q74" s="89"/>
      <c r="R74" s="89"/>
      <c r="S74" s="89"/>
      <c r="T74" s="89"/>
      <c r="U74" s="89"/>
      <c r="V74" s="89"/>
      <c r="W74" s="88"/>
      <c r="X74" s="89"/>
      <c r="Y74" s="89"/>
      <c r="Z74" s="89"/>
      <c r="AA74" s="89"/>
      <c r="AB74" s="89"/>
      <c r="AC74" s="89"/>
      <c r="AD74" s="89"/>
      <c r="AE74" s="89"/>
      <c r="AF74" s="89"/>
      <c r="AG74" s="89"/>
      <c r="AH74" s="89"/>
    </row>
    <row r="75" spans="12:34" s="85" customFormat="1" x14ac:dyDescent="0.25">
      <c r="L75" s="89"/>
      <c r="M75" s="89"/>
      <c r="N75" s="89"/>
      <c r="O75" s="89"/>
      <c r="P75" s="89"/>
      <c r="Q75" s="89"/>
      <c r="R75" s="89"/>
      <c r="S75" s="89"/>
      <c r="T75" s="89"/>
      <c r="U75" s="89"/>
      <c r="V75" s="89"/>
      <c r="W75" s="88"/>
      <c r="X75" s="89"/>
      <c r="Y75" s="89"/>
      <c r="Z75" s="89"/>
      <c r="AA75" s="89"/>
      <c r="AB75" s="89"/>
      <c r="AC75" s="89"/>
      <c r="AD75" s="89"/>
      <c r="AE75" s="89"/>
      <c r="AF75" s="89"/>
      <c r="AG75" s="89"/>
      <c r="AH75" s="89"/>
    </row>
    <row r="76" spans="12:34" s="85" customFormat="1" x14ac:dyDescent="0.25">
      <c r="L76" s="89"/>
      <c r="M76" s="89"/>
      <c r="N76" s="89"/>
      <c r="O76" s="89"/>
      <c r="P76" s="89"/>
      <c r="Q76" s="89"/>
      <c r="R76" s="89"/>
      <c r="S76" s="89"/>
      <c r="T76" s="89"/>
      <c r="U76" s="89"/>
      <c r="V76" s="89"/>
      <c r="W76" s="88"/>
      <c r="X76" s="89"/>
      <c r="Y76" s="89"/>
      <c r="Z76" s="89"/>
      <c r="AA76" s="89"/>
      <c r="AB76" s="89"/>
      <c r="AC76" s="89"/>
      <c r="AD76" s="89"/>
      <c r="AE76" s="89"/>
      <c r="AF76" s="89"/>
      <c r="AG76" s="89"/>
      <c r="AH76" s="89"/>
    </row>
    <row r="77" spans="12:34" s="85" customFormat="1" x14ac:dyDescent="0.25">
      <c r="L77" s="89"/>
      <c r="M77" s="89"/>
      <c r="N77" s="89"/>
      <c r="O77" s="89"/>
      <c r="P77" s="89"/>
      <c r="Q77" s="89"/>
      <c r="R77" s="89"/>
      <c r="S77" s="89"/>
      <c r="T77" s="89"/>
      <c r="U77" s="89"/>
      <c r="V77" s="89"/>
      <c r="W77" s="88"/>
      <c r="X77" s="89"/>
      <c r="Y77" s="89"/>
      <c r="Z77" s="89"/>
      <c r="AA77" s="89"/>
      <c r="AB77" s="89"/>
      <c r="AC77" s="89"/>
      <c r="AD77" s="89"/>
      <c r="AE77" s="89"/>
      <c r="AF77" s="89"/>
      <c r="AG77" s="89"/>
      <c r="AH77" s="89"/>
    </row>
    <row r="78" spans="12:34" s="85" customFormat="1" x14ac:dyDescent="0.25">
      <c r="L78" s="89"/>
      <c r="M78" s="89"/>
      <c r="N78" s="89"/>
      <c r="O78" s="89"/>
      <c r="P78" s="89"/>
      <c r="Q78" s="89"/>
      <c r="R78" s="89"/>
      <c r="S78" s="89"/>
      <c r="T78" s="89"/>
      <c r="U78" s="89"/>
      <c r="V78" s="89"/>
      <c r="W78" s="88"/>
      <c r="X78" s="89"/>
      <c r="Y78" s="89"/>
      <c r="Z78" s="89"/>
      <c r="AA78" s="89"/>
      <c r="AB78" s="89"/>
      <c r="AC78" s="89"/>
      <c r="AD78" s="89"/>
      <c r="AE78" s="89"/>
      <c r="AF78" s="89"/>
      <c r="AG78" s="89"/>
      <c r="AH78" s="89"/>
    </row>
    <row r="79" spans="12:34" s="85" customFormat="1" x14ac:dyDescent="0.25">
      <c r="L79" s="89"/>
      <c r="M79" s="89"/>
      <c r="N79" s="89"/>
      <c r="O79" s="89"/>
      <c r="P79" s="89"/>
      <c r="Q79" s="89"/>
      <c r="R79" s="89"/>
      <c r="S79" s="89"/>
      <c r="T79" s="89"/>
      <c r="U79" s="89"/>
      <c r="V79" s="89"/>
      <c r="W79" s="88"/>
      <c r="X79" s="89"/>
      <c r="Y79" s="89"/>
      <c r="Z79" s="89"/>
      <c r="AA79" s="89"/>
      <c r="AB79" s="89"/>
      <c r="AC79" s="89"/>
      <c r="AD79" s="89"/>
      <c r="AE79" s="89"/>
      <c r="AF79" s="89"/>
      <c r="AG79" s="89"/>
      <c r="AH79" s="89"/>
    </row>
    <row r="80" spans="12:34" s="85" customFormat="1" x14ac:dyDescent="0.25">
      <c r="L80" s="89"/>
      <c r="M80" s="89"/>
      <c r="N80" s="89"/>
      <c r="O80" s="89"/>
      <c r="P80" s="89"/>
      <c r="Q80" s="89"/>
      <c r="R80" s="89"/>
      <c r="S80" s="89"/>
      <c r="T80" s="89"/>
      <c r="U80" s="89"/>
      <c r="V80" s="89"/>
      <c r="W80" s="88"/>
      <c r="X80" s="89"/>
      <c r="Y80" s="89"/>
      <c r="Z80" s="89"/>
      <c r="AA80" s="89"/>
      <c r="AB80" s="89"/>
      <c r="AC80" s="89"/>
      <c r="AD80" s="89"/>
      <c r="AE80" s="89"/>
      <c r="AF80" s="89"/>
      <c r="AG80" s="89"/>
      <c r="AH80" s="89"/>
    </row>
    <row r="81" spans="12:34" s="85" customFormat="1" x14ac:dyDescent="0.25">
      <c r="L81" s="89"/>
      <c r="M81" s="89"/>
      <c r="N81" s="89"/>
      <c r="O81" s="89"/>
      <c r="P81" s="89"/>
      <c r="Q81" s="89"/>
      <c r="R81" s="89"/>
      <c r="S81" s="89"/>
      <c r="T81" s="89"/>
      <c r="U81" s="89"/>
      <c r="V81" s="89"/>
      <c r="W81" s="88"/>
      <c r="X81" s="89"/>
      <c r="Y81" s="89"/>
      <c r="Z81" s="89"/>
      <c r="AA81" s="89"/>
      <c r="AB81" s="89"/>
      <c r="AC81" s="89"/>
      <c r="AD81" s="89"/>
      <c r="AE81" s="89"/>
      <c r="AF81" s="89"/>
      <c r="AG81" s="89"/>
      <c r="AH81" s="89"/>
    </row>
    <row r="82" spans="12:34" s="85" customFormat="1" x14ac:dyDescent="0.25">
      <c r="L82" s="89"/>
      <c r="M82" s="89"/>
      <c r="N82" s="89"/>
      <c r="O82" s="89"/>
      <c r="P82" s="89"/>
      <c r="Q82" s="89"/>
      <c r="R82" s="89"/>
      <c r="S82" s="89"/>
      <c r="T82" s="89"/>
      <c r="U82" s="89"/>
      <c r="V82" s="89"/>
      <c r="W82" s="88"/>
      <c r="X82" s="89"/>
      <c r="Y82" s="89"/>
      <c r="Z82" s="89"/>
      <c r="AA82" s="89"/>
      <c r="AB82" s="89"/>
      <c r="AC82" s="89"/>
      <c r="AD82" s="89"/>
      <c r="AE82" s="89"/>
      <c r="AF82" s="89"/>
      <c r="AG82" s="89"/>
      <c r="AH82" s="89"/>
    </row>
    <row r="83" spans="12:34" s="85" customFormat="1" x14ac:dyDescent="0.25">
      <c r="L83" s="89"/>
      <c r="M83" s="89"/>
      <c r="N83" s="89"/>
      <c r="O83" s="89"/>
      <c r="P83" s="89"/>
      <c r="Q83" s="89"/>
      <c r="R83" s="89"/>
      <c r="S83" s="89"/>
      <c r="T83" s="89"/>
      <c r="U83" s="89"/>
      <c r="V83" s="89"/>
      <c r="W83" s="88"/>
      <c r="X83" s="89"/>
      <c r="Y83" s="89"/>
      <c r="Z83" s="89"/>
      <c r="AA83" s="89"/>
      <c r="AB83" s="89"/>
      <c r="AC83" s="89"/>
      <c r="AD83" s="89"/>
      <c r="AE83" s="89"/>
      <c r="AF83" s="89"/>
      <c r="AG83" s="89"/>
      <c r="AH83" s="89"/>
    </row>
    <row r="84" spans="12:34" s="85" customFormat="1" x14ac:dyDescent="0.25">
      <c r="L84" s="89"/>
      <c r="M84" s="89"/>
      <c r="N84" s="89"/>
      <c r="O84" s="89"/>
      <c r="P84" s="89"/>
      <c r="Q84" s="89"/>
      <c r="R84" s="89"/>
      <c r="S84" s="89"/>
      <c r="T84" s="89"/>
      <c r="U84" s="89"/>
      <c r="V84" s="89"/>
      <c r="W84" s="88"/>
      <c r="X84" s="89"/>
      <c r="Y84" s="89"/>
      <c r="Z84" s="89"/>
      <c r="AA84" s="89"/>
      <c r="AB84" s="89"/>
      <c r="AC84" s="89"/>
      <c r="AD84" s="89"/>
      <c r="AE84" s="89"/>
      <c r="AF84" s="89"/>
      <c r="AG84" s="89"/>
      <c r="AH84" s="89"/>
    </row>
    <row r="85" spans="12:34" s="85" customFormat="1" x14ac:dyDescent="0.25">
      <c r="L85" s="89"/>
      <c r="M85" s="89"/>
      <c r="N85" s="89"/>
      <c r="O85" s="89"/>
      <c r="P85" s="89"/>
      <c r="Q85" s="89"/>
      <c r="R85" s="89"/>
      <c r="S85" s="89"/>
      <c r="T85" s="89"/>
      <c r="U85" s="89"/>
      <c r="V85" s="89"/>
      <c r="W85" s="88"/>
      <c r="X85" s="89"/>
      <c r="Y85" s="89"/>
      <c r="Z85" s="89"/>
      <c r="AA85" s="89"/>
      <c r="AB85" s="89"/>
      <c r="AC85" s="89"/>
      <c r="AD85" s="89"/>
      <c r="AE85" s="89"/>
      <c r="AF85" s="89"/>
      <c r="AG85" s="89"/>
      <c r="AH85" s="89"/>
    </row>
    <row r="86" spans="12:34" s="85" customFormat="1" x14ac:dyDescent="0.25">
      <c r="L86" s="89"/>
      <c r="M86" s="89"/>
      <c r="N86" s="89"/>
      <c r="O86" s="89"/>
      <c r="P86" s="89"/>
      <c r="Q86" s="89"/>
      <c r="R86" s="89"/>
      <c r="S86" s="89"/>
      <c r="T86" s="89"/>
      <c r="U86" s="89"/>
      <c r="V86" s="89"/>
      <c r="W86" s="88"/>
      <c r="X86" s="89"/>
      <c r="Y86" s="89"/>
      <c r="Z86" s="89"/>
      <c r="AA86" s="89"/>
      <c r="AB86" s="89"/>
      <c r="AC86" s="89"/>
      <c r="AD86" s="89"/>
      <c r="AE86" s="89"/>
      <c r="AF86" s="89"/>
      <c r="AG86" s="89"/>
      <c r="AH86" s="89"/>
    </row>
    <row r="87" spans="12:34" s="85" customFormat="1" x14ac:dyDescent="0.25">
      <c r="L87" s="89"/>
      <c r="M87" s="89"/>
      <c r="N87" s="89"/>
      <c r="O87" s="89"/>
      <c r="P87" s="89"/>
      <c r="Q87" s="89"/>
      <c r="R87" s="89"/>
      <c r="S87" s="89"/>
      <c r="T87" s="89"/>
      <c r="U87" s="89"/>
      <c r="V87" s="89"/>
      <c r="W87" s="88"/>
      <c r="X87" s="89"/>
      <c r="Y87" s="89"/>
      <c r="Z87" s="89"/>
      <c r="AA87" s="89"/>
      <c r="AB87" s="89"/>
      <c r="AC87" s="89"/>
      <c r="AD87" s="89"/>
      <c r="AE87" s="89"/>
      <c r="AF87" s="89"/>
      <c r="AG87" s="89"/>
      <c r="AH87" s="89"/>
    </row>
    <row r="88" spans="12:34" s="85" customFormat="1" x14ac:dyDescent="0.25">
      <c r="L88" s="89"/>
      <c r="M88" s="89"/>
      <c r="N88" s="89"/>
      <c r="O88" s="89"/>
      <c r="P88" s="89"/>
      <c r="Q88" s="89"/>
      <c r="R88" s="89"/>
      <c r="S88" s="89"/>
      <c r="T88" s="89"/>
      <c r="U88" s="89"/>
      <c r="V88" s="89"/>
      <c r="W88" s="88"/>
      <c r="X88" s="89"/>
      <c r="Y88" s="89"/>
      <c r="Z88" s="89"/>
      <c r="AA88" s="89"/>
      <c r="AB88" s="89"/>
      <c r="AC88" s="89"/>
      <c r="AD88" s="89"/>
      <c r="AE88" s="89"/>
      <c r="AF88" s="89"/>
      <c r="AG88" s="89"/>
      <c r="AH88" s="89"/>
    </row>
    <row r="89" spans="12:34" s="85" customFormat="1" x14ac:dyDescent="0.25">
      <c r="L89" s="89"/>
      <c r="M89" s="89"/>
      <c r="N89" s="89"/>
      <c r="O89" s="89"/>
      <c r="P89" s="89"/>
      <c r="Q89" s="89"/>
      <c r="R89" s="89"/>
      <c r="S89" s="89"/>
      <c r="T89" s="89"/>
      <c r="U89" s="89"/>
      <c r="V89" s="89"/>
      <c r="W89" s="88"/>
      <c r="X89" s="89"/>
      <c r="Y89" s="89"/>
      <c r="Z89" s="89"/>
      <c r="AA89" s="89"/>
      <c r="AB89" s="89"/>
      <c r="AC89" s="89"/>
      <c r="AD89" s="89"/>
      <c r="AE89" s="89"/>
      <c r="AF89" s="89"/>
      <c r="AG89" s="89"/>
      <c r="AH89" s="89"/>
    </row>
    <row r="90" spans="12:34" s="85" customFormat="1" x14ac:dyDescent="0.25">
      <c r="L90" s="89"/>
      <c r="M90" s="89"/>
      <c r="N90" s="89"/>
      <c r="O90" s="89"/>
      <c r="P90" s="89"/>
      <c r="Q90" s="89"/>
      <c r="R90" s="89"/>
      <c r="S90" s="89"/>
      <c r="T90" s="89"/>
      <c r="U90" s="89"/>
      <c r="V90" s="89"/>
      <c r="W90" s="88"/>
      <c r="X90" s="89"/>
      <c r="Y90" s="89"/>
      <c r="Z90" s="89"/>
      <c r="AA90" s="89"/>
      <c r="AB90" s="89"/>
      <c r="AC90" s="89"/>
      <c r="AD90" s="89"/>
      <c r="AE90" s="89"/>
      <c r="AF90" s="89"/>
      <c r="AG90" s="89"/>
      <c r="AH90" s="89"/>
    </row>
    <row r="91" spans="12:34" s="85" customFormat="1" x14ac:dyDescent="0.25">
      <c r="L91" s="89"/>
      <c r="M91" s="89"/>
      <c r="N91" s="89"/>
      <c r="O91" s="89"/>
      <c r="P91" s="89"/>
      <c r="Q91" s="89"/>
      <c r="R91" s="89"/>
      <c r="S91" s="89"/>
      <c r="T91" s="89"/>
      <c r="U91" s="89"/>
      <c r="V91" s="89"/>
      <c r="W91" s="88"/>
      <c r="X91" s="89"/>
      <c r="Y91" s="89"/>
      <c r="Z91" s="89"/>
      <c r="AA91" s="89"/>
      <c r="AB91" s="89"/>
      <c r="AC91" s="89"/>
      <c r="AD91" s="89"/>
      <c r="AE91" s="89"/>
      <c r="AF91" s="89"/>
      <c r="AG91" s="89"/>
      <c r="AH91" s="89"/>
    </row>
    <row r="92" spans="12:34" s="85" customFormat="1" x14ac:dyDescent="0.25">
      <c r="L92" s="89"/>
      <c r="M92" s="89"/>
      <c r="N92" s="89"/>
      <c r="O92" s="89"/>
      <c r="P92" s="89"/>
      <c r="Q92" s="89"/>
      <c r="R92" s="89"/>
      <c r="S92" s="89"/>
      <c r="T92" s="89"/>
      <c r="U92" s="89"/>
      <c r="V92" s="89"/>
      <c r="W92" s="88"/>
      <c r="X92" s="89"/>
      <c r="Y92" s="89"/>
      <c r="Z92" s="89"/>
      <c r="AA92" s="89"/>
      <c r="AB92" s="89"/>
      <c r="AC92" s="89"/>
      <c r="AD92" s="89"/>
      <c r="AE92" s="89"/>
      <c r="AF92" s="89"/>
      <c r="AG92" s="89"/>
      <c r="AH92" s="89"/>
    </row>
    <row r="93" spans="12:34" s="85" customFormat="1" x14ac:dyDescent="0.25">
      <c r="L93" s="89"/>
      <c r="M93" s="89"/>
      <c r="N93" s="89"/>
      <c r="O93" s="89"/>
      <c r="P93" s="89"/>
      <c r="Q93" s="89"/>
      <c r="R93" s="89"/>
      <c r="S93" s="89"/>
      <c r="T93" s="89"/>
      <c r="U93" s="89"/>
      <c r="V93" s="89"/>
      <c r="W93" s="88"/>
      <c r="X93" s="89"/>
      <c r="Y93" s="89"/>
      <c r="Z93" s="89"/>
      <c r="AA93" s="89"/>
      <c r="AB93" s="89"/>
      <c r="AC93" s="89"/>
      <c r="AD93" s="89"/>
      <c r="AE93" s="89"/>
      <c r="AF93" s="89"/>
      <c r="AG93" s="89"/>
      <c r="AH93" s="89"/>
    </row>
    <row r="94" spans="12:34" s="85" customFormat="1" x14ac:dyDescent="0.25">
      <c r="L94" s="89"/>
      <c r="M94" s="89"/>
      <c r="N94" s="89"/>
      <c r="O94" s="89"/>
      <c r="P94" s="89"/>
      <c r="Q94" s="89"/>
      <c r="R94" s="89"/>
      <c r="S94" s="89"/>
      <c r="T94" s="89"/>
      <c r="U94" s="89"/>
      <c r="V94" s="89"/>
      <c r="W94" s="88"/>
      <c r="X94" s="89"/>
      <c r="Y94" s="89"/>
      <c r="Z94" s="89"/>
      <c r="AA94" s="89"/>
      <c r="AB94" s="89"/>
      <c r="AC94" s="89"/>
      <c r="AD94" s="89"/>
      <c r="AE94" s="89"/>
      <c r="AF94" s="89"/>
      <c r="AG94" s="89"/>
      <c r="AH94" s="89"/>
    </row>
    <row r="95" spans="12:34" s="85" customFormat="1" x14ac:dyDescent="0.25">
      <c r="L95" s="89"/>
      <c r="M95" s="89"/>
      <c r="N95" s="89"/>
      <c r="O95" s="89"/>
      <c r="P95" s="89"/>
      <c r="Q95" s="89"/>
      <c r="R95" s="89"/>
      <c r="S95" s="89"/>
      <c r="T95" s="89"/>
      <c r="U95" s="89"/>
      <c r="V95" s="89"/>
      <c r="W95" s="88"/>
      <c r="X95" s="89"/>
      <c r="Y95" s="89"/>
      <c r="Z95" s="89"/>
      <c r="AA95" s="89"/>
      <c r="AB95" s="89"/>
      <c r="AC95" s="89"/>
      <c r="AD95" s="89"/>
      <c r="AE95" s="89"/>
      <c r="AF95" s="89"/>
      <c r="AG95" s="89"/>
      <c r="AH95" s="89"/>
    </row>
    <row r="96" spans="12:34" s="85" customFormat="1" x14ac:dyDescent="0.25">
      <c r="L96" s="89"/>
      <c r="M96" s="89"/>
      <c r="N96" s="89"/>
      <c r="O96" s="89"/>
      <c r="P96" s="89"/>
      <c r="Q96" s="89"/>
      <c r="R96" s="89"/>
      <c r="S96" s="89"/>
      <c r="T96" s="89"/>
      <c r="U96" s="89"/>
      <c r="V96" s="89"/>
      <c r="W96" s="88"/>
      <c r="X96" s="89"/>
      <c r="Y96" s="89"/>
      <c r="Z96" s="89"/>
      <c r="AA96" s="89"/>
      <c r="AB96" s="89"/>
      <c r="AC96" s="89"/>
      <c r="AD96" s="89"/>
      <c r="AE96" s="89"/>
      <c r="AF96" s="89"/>
      <c r="AG96" s="89"/>
      <c r="AH96" s="89"/>
    </row>
    <row r="97" spans="12:34" s="85" customFormat="1" x14ac:dyDescent="0.25">
      <c r="L97" s="89"/>
      <c r="M97" s="89"/>
      <c r="N97" s="89"/>
      <c r="O97" s="89"/>
      <c r="P97" s="89"/>
      <c r="Q97" s="89"/>
      <c r="R97" s="89"/>
      <c r="S97" s="89"/>
      <c r="T97" s="89"/>
      <c r="U97" s="89"/>
      <c r="V97" s="89"/>
      <c r="W97" s="88"/>
      <c r="X97" s="89"/>
      <c r="Y97" s="89"/>
      <c r="Z97" s="89"/>
      <c r="AA97" s="89"/>
      <c r="AB97" s="89"/>
      <c r="AC97" s="89"/>
      <c r="AD97" s="89"/>
      <c r="AE97" s="89"/>
      <c r="AF97" s="89"/>
      <c r="AG97" s="89"/>
      <c r="AH97" s="89"/>
    </row>
    <row r="98" spans="12:34" s="85" customFormat="1" x14ac:dyDescent="0.25">
      <c r="L98" s="89"/>
      <c r="M98" s="89"/>
      <c r="N98" s="89"/>
      <c r="O98" s="89"/>
      <c r="P98" s="89"/>
      <c r="Q98" s="89"/>
      <c r="R98" s="89"/>
      <c r="S98" s="89"/>
      <c r="T98" s="89"/>
      <c r="U98" s="89"/>
      <c r="V98" s="89"/>
      <c r="W98" s="88"/>
      <c r="X98" s="89"/>
      <c r="Y98" s="89"/>
      <c r="Z98" s="89"/>
      <c r="AA98" s="89"/>
      <c r="AB98" s="89"/>
      <c r="AC98" s="89"/>
      <c r="AD98" s="89"/>
      <c r="AE98" s="89"/>
      <c r="AF98" s="89"/>
      <c r="AG98" s="89"/>
      <c r="AH98" s="89"/>
    </row>
    <row r="99" spans="12:34" s="85" customFormat="1" x14ac:dyDescent="0.25">
      <c r="L99" s="89"/>
      <c r="M99" s="89"/>
      <c r="N99" s="89"/>
      <c r="O99" s="89"/>
      <c r="P99" s="89"/>
      <c r="Q99" s="89"/>
      <c r="R99" s="89"/>
      <c r="S99" s="89"/>
      <c r="T99" s="89"/>
      <c r="U99" s="89"/>
      <c r="V99" s="89"/>
      <c r="W99" s="88"/>
      <c r="X99" s="89"/>
      <c r="Y99" s="89"/>
      <c r="Z99" s="89"/>
      <c r="AA99" s="89"/>
      <c r="AB99" s="89"/>
      <c r="AC99" s="89"/>
      <c r="AD99" s="89"/>
      <c r="AE99" s="89"/>
      <c r="AF99" s="89"/>
      <c r="AG99" s="89"/>
      <c r="AH99" s="89"/>
    </row>
    <row r="100" spans="12:34" s="85" customFormat="1" x14ac:dyDescent="0.25">
      <c r="L100" s="89"/>
      <c r="M100" s="89"/>
      <c r="N100" s="89"/>
      <c r="O100" s="89"/>
      <c r="P100" s="89"/>
      <c r="Q100" s="89"/>
      <c r="R100" s="89"/>
      <c r="S100" s="89"/>
      <c r="T100" s="89"/>
      <c r="U100" s="89"/>
      <c r="V100" s="89"/>
      <c r="W100" s="88"/>
      <c r="X100" s="89"/>
      <c r="Y100" s="89"/>
      <c r="Z100" s="89"/>
      <c r="AA100" s="89"/>
      <c r="AB100" s="89"/>
      <c r="AC100" s="89"/>
      <c r="AD100" s="89"/>
      <c r="AE100" s="89"/>
      <c r="AF100" s="89"/>
      <c r="AG100" s="89"/>
      <c r="AH100" s="89"/>
    </row>
    <row r="101" spans="12:34" s="85" customFormat="1" x14ac:dyDescent="0.25">
      <c r="L101" s="89"/>
      <c r="M101" s="89"/>
      <c r="N101" s="89"/>
      <c r="O101" s="89"/>
      <c r="P101" s="89"/>
      <c r="Q101" s="89"/>
      <c r="R101" s="89"/>
      <c r="S101" s="89"/>
      <c r="T101" s="89"/>
      <c r="U101" s="89"/>
      <c r="V101" s="89"/>
      <c r="W101" s="88"/>
      <c r="X101" s="89"/>
      <c r="Y101" s="89"/>
      <c r="Z101" s="89"/>
      <c r="AA101" s="89"/>
      <c r="AB101" s="89"/>
      <c r="AC101" s="89"/>
      <c r="AD101" s="89"/>
      <c r="AE101" s="89"/>
      <c r="AF101" s="89"/>
      <c r="AG101" s="89"/>
      <c r="AH101" s="89"/>
    </row>
    <row r="102" spans="12:34" s="85" customFormat="1" x14ac:dyDescent="0.25">
      <c r="L102" s="89"/>
      <c r="M102" s="89"/>
      <c r="N102" s="89"/>
      <c r="O102" s="89"/>
      <c r="P102" s="89"/>
      <c r="Q102" s="89"/>
      <c r="R102" s="89"/>
      <c r="S102" s="89"/>
      <c r="T102" s="89"/>
      <c r="U102" s="89"/>
      <c r="V102" s="89"/>
      <c r="W102" s="88"/>
      <c r="X102" s="89"/>
      <c r="Y102" s="89"/>
      <c r="Z102" s="89"/>
      <c r="AA102" s="89"/>
      <c r="AB102" s="89"/>
      <c r="AC102" s="89"/>
      <c r="AD102" s="89"/>
      <c r="AE102" s="89"/>
      <c r="AF102" s="89"/>
      <c r="AG102" s="89"/>
      <c r="AH102" s="89"/>
    </row>
    <row r="103" spans="12:34" s="85" customFormat="1" x14ac:dyDescent="0.25">
      <c r="L103" s="89"/>
      <c r="M103" s="89"/>
      <c r="N103" s="89"/>
      <c r="O103" s="89"/>
      <c r="P103" s="89"/>
      <c r="Q103" s="89"/>
      <c r="R103" s="89"/>
      <c r="S103" s="89"/>
      <c r="T103" s="89"/>
      <c r="U103" s="89"/>
      <c r="V103" s="89"/>
      <c r="W103" s="88"/>
      <c r="X103" s="89"/>
      <c r="Y103" s="89"/>
      <c r="Z103" s="89"/>
      <c r="AA103" s="89"/>
      <c r="AB103" s="89"/>
      <c r="AC103" s="89"/>
      <c r="AD103" s="89"/>
      <c r="AE103" s="89"/>
      <c r="AF103" s="89"/>
      <c r="AG103" s="89"/>
      <c r="AH103" s="89"/>
    </row>
    <row r="104" spans="12:34" s="85" customFormat="1" x14ac:dyDescent="0.25">
      <c r="L104" s="89"/>
      <c r="M104" s="89"/>
      <c r="N104" s="89"/>
      <c r="O104" s="89"/>
      <c r="P104" s="89"/>
      <c r="Q104" s="89"/>
      <c r="R104" s="89"/>
      <c r="S104" s="89"/>
      <c r="T104" s="89"/>
      <c r="U104" s="89"/>
      <c r="V104" s="89"/>
      <c r="W104" s="88"/>
      <c r="X104" s="89"/>
      <c r="Y104" s="89"/>
      <c r="Z104" s="89"/>
      <c r="AA104" s="89"/>
      <c r="AB104" s="89"/>
      <c r="AC104" s="89"/>
      <c r="AD104" s="89"/>
      <c r="AE104" s="89"/>
      <c r="AF104" s="89"/>
      <c r="AG104" s="89"/>
      <c r="AH104" s="89"/>
    </row>
    <row r="105" spans="12:34" s="85" customFormat="1" x14ac:dyDescent="0.25">
      <c r="L105" s="89"/>
      <c r="M105" s="89"/>
      <c r="N105" s="89"/>
      <c r="O105" s="89"/>
      <c r="P105" s="89"/>
      <c r="Q105" s="89"/>
      <c r="R105" s="89"/>
      <c r="S105" s="89"/>
      <c r="T105" s="89"/>
      <c r="U105" s="89"/>
      <c r="V105" s="89"/>
      <c r="W105" s="88"/>
      <c r="X105" s="89"/>
      <c r="Y105" s="89"/>
      <c r="Z105" s="89"/>
      <c r="AA105" s="89"/>
      <c r="AB105" s="89"/>
      <c r="AC105" s="89"/>
      <c r="AD105" s="89"/>
      <c r="AE105" s="89"/>
      <c r="AF105" s="89"/>
      <c r="AG105" s="89"/>
      <c r="AH105" s="89"/>
    </row>
    <row r="106" spans="12:34" s="85" customFormat="1" x14ac:dyDescent="0.25">
      <c r="L106" s="89"/>
      <c r="M106" s="89"/>
      <c r="N106" s="89"/>
      <c r="O106" s="89"/>
      <c r="P106" s="89"/>
      <c r="Q106" s="89"/>
      <c r="R106" s="89"/>
      <c r="S106" s="89"/>
      <c r="T106" s="89"/>
      <c r="U106" s="89"/>
      <c r="V106" s="89"/>
      <c r="W106" s="88"/>
      <c r="X106" s="89"/>
      <c r="Y106" s="89"/>
      <c r="Z106" s="89"/>
      <c r="AA106" s="89"/>
      <c r="AB106" s="89"/>
      <c r="AC106" s="89"/>
      <c r="AD106" s="89"/>
      <c r="AE106" s="89"/>
      <c r="AF106" s="89"/>
      <c r="AG106" s="89"/>
      <c r="AH106" s="89"/>
    </row>
    <row r="107" spans="12:34" s="85" customFormat="1" x14ac:dyDescent="0.25">
      <c r="L107" s="89"/>
      <c r="M107" s="89"/>
      <c r="N107" s="89"/>
      <c r="O107" s="89"/>
      <c r="P107" s="89"/>
      <c r="Q107" s="89"/>
      <c r="R107" s="89"/>
      <c r="S107" s="89"/>
      <c r="T107" s="89"/>
      <c r="U107" s="89"/>
      <c r="V107" s="89"/>
      <c r="W107" s="88"/>
      <c r="X107" s="89"/>
      <c r="Y107" s="89"/>
      <c r="Z107" s="89"/>
      <c r="AA107" s="89"/>
      <c r="AB107" s="89"/>
      <c r="AC107" s="89"/>
      <c r="AD107" s="89"/>
      <c r="AE107" s="89"/>
      <c r="AF107" s="89"/>
      <c r="AG107" s="89"/>
      <c r="AH107" s="89"/>
    </row>
    <row r="108" spans="12:34" s="85" customFormat="1" x14ac:dyDescent="0.25">
      <c r="L108" s="89"/>
      <c r="M108" s="89"/>
      <c r="N108" s="89"/>
      <c r="O108" s="89"/>
      <c r="P108" s="89"/>
      <c r="Q108" s="89"/>
      <c r="R108" s="89"/>
      <c r="S108" s="89"/>
      <c r="T108" s="89"/>
      <c r="U108" s="89"/>
      <c r="V108" s="89"/>
      <c r="W108" s="88"/>
      <c r="X108" s="89"/>
      <c r="Y108" s="89"/>
      <c r="Z108" s="89"/>
      <c r="AA108" s="89"/>
      <c r="AB108" s="89"/>
      <c r="AC108" s="89"/>
      <c r="AD108" s="89"/>
      <c r="AE108" s="89"/>
      <c r="AF108" s="89"/>
      <c r="AG108" s="89"/>
      <c r="AH108" s="89"/>
    </row>
    <row r="109" spans="12:34" s="85" customFormat="1" x14ac:dyDescent="0.25">
      <c r="L109" s="89"/>
      <c r="M109" s="89"/>
      <c r="N109" s="89"/>
      <c r="O109" s="89"/>
      <c r="P109" s="89"/>
      <c r="Q109" s="89"/>
      <c r="R109" s="89"/>
      <c r="S109" s="89"/>
      <c r="T109" s="89"/>
      <c r="U109" s="89"/>
      <c r="V109" s="89"/>
      <c r="W109" s="88"/>
      <c r="X109" s="89"/>
      <c r="Y109" s="89"/>
      <c r="Z109" s="89"/>
      <c r="AA109" s="89"/>
      <c r="AB109" s="89"/>
      <c r="AC109" s="89"/>
      <c r="AD109" s="89"/>
      <c r="AE109" s="89"/>
      <c r="AF109" s="89"/>
      <c r="AG109" s="89"/>
      <c r="AH109" s="89"/>
    </row>
    <row r="110" spans="12:34" s="85" customFormat="1" x14ac:dyDescent="0.25">
      <c r="L110" s="89"/>
      <c r="M110" s="89"/>
      <c r="N110" s="89"/>
      <c r="O110" s="89"/>
      <c r="P110" s="89"/>
      <c r="Q110" s="89"/>
      <c r="R110" s="89"/>
      <c r="S110" s="89"/>
      <c r="T110" s="89"/>
      <c r="U110" s="89"/>
      <c r="V110" s="89"/>
      <c r="W110" s="88"/>
      <c r="X110" s="89"/>
      <c r="Y110" s="89"/>
      <c r="Z110" s="89"/>
      <c r="AA110" s="89"/>
      <c r="AB110" s="89"/>
      <c r="AC110" s="89"/>
      <c r="AD110" s="89"/>
      <c r="AE110" s="89"/>
      <c r="AF110" s="89"/>
      <c r="AG110" s="89"/>
      <c r="AH110" s="89"/>
    </row>
    <row r="111" spans="12:34" s="85" customFormat="1" x14ac:dyDescent="0.25">
      <c r="L111" s="89"/>
      <c r="M111" s="89"/>
      <c r="N111" s="89"/>
      <c r="O111" s="89"/>
      <c r="P111" s="89"/>
      <c r="Q111" s="89"/>
      <c r="R111" s="89"/>
      <c r="S111" s="89"/>
      <c r="T111" s="89"/>
      <c r="U111" s="89"/>
      <c r="V111" s="89"/>
      <c r="W111" s="88"/>
      <c r="X111" s="89"/>
      <c r="Y111" s="89"/>
      <c r="Z111" s="89"/>
      <c r="AA111" s="89"/>
      <c r="AB111" s="89"/>
      <c r="AC111" s="89"/>
      <c r="AD111" s="89"/>
      <c r="AE111" s="89"/>
      <c r="AF111" s="89"/>
      <c r="AG111" s="89"/>
      <c r="AH111" s="89"/>
    </row>
    <row r="112" spans="12:34" s="85" customFormat="1" x14ac:dyDescent="0.25">
      <c r="L112" s="89"/>
      <c r="M112" s="89"/>
      <c r="N112" s="89"/>
      <c r="O112" s="89"/>
      <c r="P112" s="89"/>
      <c r="Q112" s="89"/>
      <c r="R112" s="89"/>
      <c r="S112" s="89"/>
      <c r="T112" s="89"/>
      <c r="U112" s="89"/>
      <c r="V112" s="89"/>
      <c r="W112" s="88"/>
      <c r="X112" s="89"/>
      <c r="Y112" s="89"/>
      <c r="Z112" s="89"/>
      <c r="AA112" s="89"/>
      <c r="AB112" s="89"/>
      <c r="AC112" s="89"/>
      <c r="AD112" s="89"/>
      <c r="AE112" s="89"/>
      <c r="AF112" s="89"/>
      <c r="AG112" s="89"/>
      <c r="AH112" s="89"/>
    </row>
    <row r="113" spans="12:34" s="85" customFormat="1" x14ac:dyDescent="0.25">
      <c r="L113" s="89"/>
      <c r="M113" s="89"/>
      <c r="N113" s="89"/>
      <c r="O113" s="89"/>
      <c r="P113" s="89"/>
      <c r="Q113" s="89"/>
      <c r="R113" s="89"/>
      <c r="S113" s="89"/>
      <c r="T113" s="89"/>
      <c r="U113" s="89"/>
      <c r="V113" s="89"/>
      <c r="W113" s="88"/>
      <c r="X113" s="89"/>
      <c r="Y113" s="89"/>
      <c r="Z113" s="89"/>
      <c r="AA113" s="89"/>
      <c r="AB113" s="89"/>
      <c r="AC113" s="89"/>
      <c r="AD113" s="89"/>
      <c r="AE113" s="89"/>
      <c r="AF113" s="89"/>
      <c r="AG113" s="89"/>
      <c r="AH113" s="89"/>
    </row>
    <row r="114" spans="12:34" s="85" customFormat="1" x14ac:dyDescent="0.25">
      <c r="L114" s="89"/>
      <c r="M114" s="89"/>
      <c r="N114" s="89"/>
      <c r="O114" s="89"/>
      <c r="P114" s="89"/>
      <c r="Q114" s="89"/>
      <c r="R114" s="89"/>
      <c r="S114" s="89"/>
      <c r="T114" s="89"/>
      <c r="U114" s="89"/>
      <c r="V114" s="89"/>
      <c r="W114" s="88"/>
      <c r="X114" s="89"/>
      <c r="Y114" s="89"/>
      <c r="Z114" s="89"/>
      <c r="AA114" s="89"/>
      <c r="AB114" s="89"/>
      <c r="AC114" s="89"/>
      <c r="AD114" s="89"/>
      <c r="AE114" s="89"/>
      <c r="AF114" s="89"/>
      <c r="AG114" s="89"/>
      <c r="AH114" s="89"/>
    </row>
    <row r="115" spans="12:34" s="85" customFormat="1" x14ac:dyDescent="0.25">
      <c r="L115" s="89"/>
      <c r="M115" s="89"/>
      <c r="N115" s="89"/>
      <c r="O115" s="89"/>
      <c r="P115" s="89"/>
      <c r="Q115" s="89"/>
      <c r="R115" s="89"/>
      <c r="S115" s="89"/>
      <c r="T115" s="89"/>
      <c r="U115" s="89"/>
      <c r="V115" s="89"/>
      <c r="W115" s="88"/>
      <c r="X115" s="89"/>
      <c r="Y115" s="89"/>
      <c r="Z115" s="89"/>
      <c r="AA115" s="89"/>
      <c r="AB115" s="89"/>
      <c r="AC115" s="89"/>
      <c r="AD115" s="89"/>
      <c r="AE115" s="89"/>
      <c r="AF115" s="89"/>
      <c r="AG115" s="89"/>
      <c r="AH115" s="89"/>
    </row>
    <row r="116" spans="12:34" s="85" customFormat="1" x14ac:dyDescent="0.25">
      <c r="L116" s="89"/>
      <c r="M116" s="89"/>
      <c r="N116" s="89"/>
      <c r="O116" s="89"/>
      <c r="P116" s="89"/>
      <c r="Q116" s="89"/>
      <c r="R116" s="89"/>
      <c r="S116" s="89"/>
      <c r="T116" s="89"/>
      <c r="U116" s="89"/>
      <c r="V116" s="89"/>
      <c r="W116" s="88"/>
      <c r="X116" s="89"/>
      <c r="Y116" s="89"/>
      <c r="Z116" s="89"/>
      <c r="AA116" s="89"/>
      <c r="AB116" s="89"/>
      <c r="AC116" s="89"/>
      <c r="AD116" s="89"/>
      <c r="AE116" s="89"/>
      <c r="AF116" s="89"/>
      <c r="AG116" s="89"/>
      <c r="AH116" s="89"/>
    </row>
    <row r="117" spans="12:34" s="85" customFormat="1" x14ac:dyDescent="0.25">
      <c r="L117" s="89"/>
      <c r="M117" s="89"/>
      <c r="N117" s="89"/>
      <c r="O117" s="89"/>
      <c r="P117" s="89"/>
      <c r="Q117" s="89"/>
      <c r="R117" s="89"/>
      <c r="S117" s="89"/>
      <c r="T117" s="89"/>
      <c r="U117" s="89"/>
      <c r="V117" s="89"/>
      <c r="W117" s="88"/>
      <c r="X117" s="89"/>
      <c r="Y117" s="89"/>
      <c r="Z117" s="89"/>
      <c r="AA117" s="89"/>
      <c r="AB117" s="89"/>
      <c r="AC117" s="89"/>
      <c r="AD117" s="89"/>
      <c r="AE117" s="89"/>
      <c r="AF117" s="89"/>
      <c r="AG117" s="89"/>
      <c r="AH117" s="89"/>
    </row>
    <row r="118" spans="12:34" s="85" customFormat="1" x14ac:dyDescent="0.25">
      <c r="L118" s="89"/>
      <c r="M118" s="89"/>
      <c r="N118" s="89"/>
      <c r="O118" s="89"/>
      <c r="P118" s="89"/>
      <c r="Q118" s="89"/>
      <c r="R118" s="89"/>
      <c r="S118" s="89"/>
      <c r="T118" s="89"/>
      <c r="U118" s="89"/>
      <c r="V118" s="89"/>
      <c r="W118" s="88"/>
      <c r="X118" s="89"/>
      <c r="Y118" s="89"/>
      <c r="Z118" s="89"/>
      <c r="AA118" s="89"/>
      <c r="AB118" s="89"/>
      <c r="AC118" s="89"/>
      <c r="AD118" s="89"/>
      <c r="AE118" s="89"/>
      <c r="AF118" s="89"/>
      <c r="AG118" s="89"/>
      <c r="AH118" s="89"/>
    </row>
    <row r="119" spans="12:34" s="85" customFormat="1" x14ac:dyDescent="0.25">
      <c r="L119" s="89"/>
      <c r="M119" s="89"/>
      <c r="N119" s="89"/>
      <c r="O119" s="89"/>
      <c r="P119" s="89"/>
      <c r="Q119" s="89"/>
      <c r="R119" s="89"/>
      <c r="S119" s="89"/>
      <c r="T119" s="89"/>
      <c r="U119" s="89"/>
      <c r="V119" s="89"/>
      <c r="W119" s="88"/>
      <c r="X119" s="89"/>
      <c r="Y119" s="89"/>
      <c r="Z119" s="89"/>
      <c r="AA119" s="89"/>
      <c r="AB119" s="89"/>
      <c r="AC119" s="89"/>
      <c r="AD119" s="89"/>
      <c r="AE119" s="89"/>
      <c r="AF119" s="89"/>
      <c r="AG119" s="89"/>
      <c r="AH119" s="89"/>
    </row>
    <row r="120" spans="12:34" s="85" customFormat="1" x14ac:dyDescent="0.25">
      <c r="L120" s="89"/>
      <c r="M120" s="89"/>
      <c r="N120" s="89"/>
      <c r="O120" s="89"/>
      <c r="P120" s="89"/>
      <c r="Q120" s="89"/>
      <c r="R120" s="89"/>
      <c r="S120" s="89"/>
      <c r="T120" s="89"/>
      <c r="U120" s="89"/>
      <c r="V120" s="89"/>
      <c r="W120" s="88"/>
      <c r="X120" s="89"/>
      <c r="Y120" s="89"/>
      <c r="Z120" s="89"/>
      <c r="AA120" s="89"/>
      <c r="AB120" s="89"/>
      <c r="AC120" s="89"/>
      <c r="AD120" s="89"/>
      <c r="AE120" s="89"/>
      <c r="AF120" s="89"/>
      <c r="AG120" s="89"/>
      <c r="AH120" s="89"/>
    </row>
    <row r="121" spans="12:34" s="85" customFormat="1" x14ac:dyDescent="0.25">
      <c r="L121" s="89"/>
      <c r="M121" s="89"/>
      <c r="N121" s="89"/>
      <c r="O121" s="89"/>
      <c r="P121" s="89"/>
      <c r="Q121" s="89"/>
      <c r="R121" s="89"/>
      <c r="S121" s="89"/>
      <c r="T121" s="89"/>
      <c r="U121" s="89"/>
      <c r="V121" s="89"/>
      <c r="W121" s="88"/>
      <c r="X121" s="89"/>
      <c r="Y121" s="89"/>
      <c r="Z121" s="89"/>
      <c r="AA121" s="89"/>
      <c r="AB121" s="89"/>
      <c r="AC121" s="89"/>
      <c r="AD121" s="89"/>
      <c r="AE121" s="89"/>
      <c r="AF121" s="89"/>
      <c r="AG121" s="89"/>
      <c r="AH121" s="89"/>
    </row>
    <row r="122" spans="12:34" s="85" customFormat="1" x14ac:dyDescent="0.25">
      <c r="L122" s="89"/>
      <c r="M122" s="89"/>
      <c r="N122" s="89"/>
      <c r="O122" s="89"/>
      <c r="P122" s="89"/>
      <c r="Q122" s="89"/>
      <c r="R122" s="89"/>
      <c r="S122" s="89"/>
      <c r="T122" s="89"/>
      <c r="U122" s="89"/>
      <c r="V122" s="89"/>
      <c r="W122" s="88"/>
      <c r="X122" s="89"/>
      <c r="Y122" s="89"/>
      <c r="Z122" s="89"/>
      <c r="AA122" s="89"/>
      <c r="AB122" s="89"/>
      <c r="AC122" s="89"/>
      <c r="AD122" s="89"/>
      <c r="AE122" s="89"/>
      <c r="AF122" s="89"/>
      <c r="AG122" s="89"/>
      <c r="AH122" s="89"/>
    </row>
    <row r="123" spans="12:34" s="85" customFormat="1" x14ac:dyDescent="0.25">
      <c r="L123" s="89"/>
      <c r="M123" s="89"/>
      <c r="N123" s="89"/>
      <c r="O123" s="89"/>
      <c r="P123" s="89"/>
      <c r="Q123" s="89"/>
      <c r="R123" s="89"/>
      <c r="S123" s="89"/>
      <c r="T123" s="89"/>
      <c r="U123" s="89"/>
      <c r="V123" s="89"/>
      <c r="W123" s="88"/>
      <c r="X123" s="89"/>
      <c r="Y123" s="89"/>
      <c r="Z123" s="89"/>
      <c r="AA123" s="89"/>
      <c r="AB123" s="89"/>
      <c r="AC123" s="89"/>
      <c r="AD123" s="89"/>
      <c r="AE123" s="89"/>
      <c r="AF123" s="89"/>
      <c r="AG123" s="89"/>
      <c r="AH123" s="89"/>
    </row>
    <row r="124" spans="12:34" s="85" customFormat="1" x14ac:dyDescent="0.25">
      <c r="L124" s="89"/>
      <c r="M124" s="89"/>
      <c r="N124" s="89"/>
      <c r="O124" s="89"/>
      <c r="P124" s="89"/>
      <c r="Q124" s="89"/>
      <c r="R124" s="89"/>
      <c r="S124" s="89"/>
      <c r="T124" s="89"/>
      <c r="U124" s="89"/>
      <c r="V124" s="89"/>
      <c r="W124" s="88"/>
      <c r="X124" s="89"/>
      <c r="Y124" s="89"/>
      <c r="Z124" s="89"/>
      <c r="AA124" s="89"/>
      <c r="AB124" s="89"/>
      <c r="AC124" s="89"/>
      <c r="AD124" s="89"/>
      <c r="AE124" s="89"/>
      <c r="AF124" s="89"/>
      <c r="AG124" s="89"/>
      <c r="AH124" s="89"/>
    </row>
    <row r="125" spans="12:34" s="85" customFormat="1" x14ac:dyDescent="0.25">
      <c r="L125" s="89"/>
      <c r="M125" s="89"/>
      <c r="N125" s="89"/>
      <c r="O125" s="89"/>
      <c r="P125" s="89"/>
      <c r="Q125" s="89"/>
      <c r="R125" s="89"/>
      <c r="S125" s="89"/>
      <c r="T125" s="89"/>
      <c r="U125" s="89"/>
      <c r="V125" s="89"/>
      <c r="W125" s="88"/>
      <c r="X125" s="89"/>
      <c r="Y125" s="89"/>
      <c r="Z125" s="89"/>
      <c r="AA125" s="89"/>
      <c r="AB125" s="89"/>
      <c r="AC125" s="89"/>
      <c r="AD125" s="89"/>
      <c r="AE125" s="89"/>
      <c r="AF125" s="89"/>
      <c r="AG125" s="89"/>
      <c r="AH125" s="89"/>
    </row>
    <row r="126" spans="12:34" s="85" customFormat="1" x14ac:dyDescent="0.25">
      <c r="L126" s="89"/>
      <c r="M126" s="89"/>
      <c r="N126" s="89"/>
      <c r="O126" s="89"/>
      <c r="P126" s="89"/>
      <c r="Q126" s="89"/>
      <c r="R126" s="89"/>
      <c r="S126" s="89"/>
      <c r="T126" s="89"/>
      <c r="U126" s="89"/>
      <c r="V126" s="89"/>
      <c r="W126" s="88"/>
      <c r="X126" s="89"/>
      <c r="Y126" s="89"/>
      <c r="Z126" s="89"/>
      <c r="AA126" s="89"/>
      <c r="AB126" s="89"/>
      <c r="AC126" s="89"/>
      <c r="AD126" s="89"/>
      <c r="AE126" s="89"/>
      <c r="AF126" s="89"/>
      <c r="AG126" s="89"/>
      <c r="AH126" s="89"/>
    </row>
    <row r="127" spans="12:34" s="85" customFormat="1" x14ac:dyDescent="0.25">
      <c r="L127" s="89"/>
      <c r="M127" s="89"/>
      <c r="N127" s="89"/>
      <c r="O127" s="89"/>
      <c r="P127" s="89"/>
      <c r="Q127" s="89"/>
      <c r="R127" s="89"/>
      <c r="S127" s="89"/>
      <c r="T127" s="89"/>
      <c r="U127" s="89"/>
      <c r="V127" s="89"/>
      <c r="W127" s="88"/>
      <c r="X127" s="89"/>
      <c r="Y127" s="89"/>
      <c r="Z127" s="89"/>
      <c r="AA127" s="89"/>
      <c r="AB127" s="89"/>
      <c r="AC127" s="89"/>
      <c r="AD127" s="89"/>
      <c r="AE127" s="89"/>
      <c r="AF127" s="89"/>
      <c r="AG127" s="89"/>
      <c r="AH127" s="89"/>
    </row>
    <row r="128" spans="12:34" s="85" customFormat="1" x14ac:dyDescent="0.25">
      <c r="L128" s="89"/>
      <c r="M128" s="89"/>
      <c r="N128" s="89"/>
      <c r="O128" s="89"/>
      <c r="P128" s="89"/>
      <c r="Q128" s="89"/>
      <c r="R128" s="89"/>
      <c r="S128" s="89"/>
      <c r="T128" s="89"/>
      <c r="U128" s="89"/>
      <c r="V128" s="89"/>
      <c r="W128" s="88"/>
      <c r="X128" s="89"/>
      <c r="Y128" s="89"/>
      <c r="Z128" s="89"/>
      <c r="AA128" s="89"/>
      <c r="AB128" s="89"/>
      <c r="AC128" s="89"/>
      <c r="AD128" s="89"/>
      <c r="AE128" s="89"/>
      <c r="AF128" s="89"/>
      <c r="AG128" s="89"/>
      <c r="AH128" s="89"/>
    </row>
    <row r="129" spans="12:34" s="85" customFormat="1" x14ac:dyDescent="0.25">
      <c r="L129" s="89"/>
      <c r="M129" s="89"/>
      <c r="N129" s="89"/>
      <c r="O129" s="89"/>
      <c r="P129" s="89"/>
      <c r="Q129" s="89"/>
      <c r="R129" s="89"/>
      <c r="S129" s="89"/>
      <c r="T129" s="89"/>
      <c r="U129" s="89"/>
      <c r="V129" s="89"/>
      <c r="W129" s="88"/>
      <c r="X129" s="89"/>
      <c r="Y129" s="89"/>
      <c r="Z129" s="89"/>
      <c r="AA129" s="89"/>
      <c r="AB129" s="89"/>
      <c r="AC129" s="89"/>
      <c r="AD129" s="89"/>
      <c r="AE129" s="89"/>
      <c r="AF129" s="89"/>
      <c r="AG129" s="89"/>
      <c r="AH129" s="89"/>
    </row>
    <row r="130" spans="12:34" s="85" customFormat="1" x14ac:dyDescent="0.25">
      <c r="L130" s="89"/>
      <c r="M130" s="89"/>
      <c r="N130" s="89"/>
      <c r="O130" s="89"/>
      <c r="P130" s="89"/>
      <c r="Q130" s="89"/>
      <c r="R130" s="89"/>
      <c r="S130" s="89"/>
      <c r="T130" s="89"/>
      <c r="U130" s="89"/>
      <c r="V130" s="89"/>
      <c r="W130" s="88"/>
      <c r="X130" s="89"/>
      <c r="Y130" s="89"/>
      <c r="Z130" s="89"/>
      <c r="AA130" s="89"/>
      <c r="AB130" s="89"/>
      <c r="AC130" s="89"/>
      <c r="AD130" s="89"/>
      <c r="AE130" s="89"/>
      <c r="AF130" s="89"/>
      <c r="AG130" s="89"/>
      <c r="AH130" s="89"/>
    </row>
    <row r="131" spans="12:34" s="85" customFormat="1" x14ac:dyDescent="0.25">
      <c r="L131" s="89"/>
      <c r="M131" s="89"/>
      <c r="N131" s="89"/>
      <c r="O131" s="89"/>
      <c r="P131" s="89"/>
      <c r="Q131" s="89"/>
      <c r="R131" s="89"/>
      <c r="S131" s="89"/>
      <c r="T131" s="89"/>
      <c r="U131" s="89"/>
      <c r="V131" s="89"/>
      <c r="W131" s="88"/>
      <c r="X131" s="89"/>
      <c r="Y131" s="89"/>
      <c r="Z131" s="89"/>
      <c r="AA131" s="89"/>
      <c r="AB131" s="89"/>
      <c r="AC131" s="89"/>
      <c r="AD131" s="89"/>
      <c r="AE131" s="89"/>
      <c r="AF131" s="89"/>
      <c r="AG131" s="89"/>
      <c r="AH131" s="89"/>
    </row>
  </sheetData>
  <sheetProtection algorithmName="SHA-512" hashValue="rh3KSO94DgHMKixehFyvQwvH9SaEy7SepX1KyCp40J+A3zrefU20TEApU6elxzmcLeln0c5RQul85qo2CxtgUw==" saltValue="lPlCo8kj5MFNZ3Xhn4HF9w==" spinCount="100000" sheet="1" objects="1" scenarios="1" selectLockedCells="1"/>
  <printOptions horizontalCentered="1" verticalCentered="1"/>
  <pageMargins left="0" right="0" top="0" bottom="0" header="0" footer="0"/>
  <pageSetup scale="4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131"/>
  <sheetViews>
    <sheetView zoomScale="50" zoomScaleNormal="50" zoomScaleSheetLayoutView="52" zoomScalePageLayoutView="28" workbookViewId="0">
      <selection activeCell="M1" sqref="M1:T1048576"/>
    </sheetView>
  </sheetViews>
  <sheetFormatPr defaultColWidth="21.140625" defaultRowHeight="15" x14ac:dyDescent="0.25"/>
  <cols>
    <col min="1" max="10" width="24.7109375" style="87" customWidth="1"/>
    <col min="11" max="11" width="21.28515625" style="87" customWidth="1"/>
    <col min="12" max="12" width="21.42578125" style="89" customWidth="1"/>
    <col min="13" max="20" width="21.140625" style="89" hidden="1" customWidth="1"/>
    <col min="21" max="22" width="21.140625" style="89" customWidth="1"/>
    <col min="23" max="23" width="21.140625" style="88" customWidth="1"/>
    <col min="24" max="34" width="21.140625" style="89" customWidth="1"/>
    <col min="35" max="35" width="21.140625" style="85" customWidth="1"/>
    <col min="36" max="16384" width="21.140625" style="87"/>
  </cols>
  <sheetData>
    <row r="1" spans="1:52" s="86" customFormat="1" ht="36" customHeight="1" x14ac:dyDescent="0.25">
      <c r="A1" s="2"/>
      <c r="B1" s="2"/>
      <c r="C1" s="2"/>
      <c r="D1" s="2"/>
      <c r="E1" s="2"/>
      <c r="F1" s="2"/>
      <c r="G1" s="2"/>
      <c r="H1" s="2"/>
      <c r="I1" s="2"/>
      <c r="J1" s="2"/>
      <c r="K1" s="2"/>
      <c r="L1" s="89"/>
      <c r="M1" s="89" t="s">
        <v>298</v>
      </c>
      <c r="N1" s="89">
        <f>'Flow Rate Charts'!M35</f>
        <v>4</v>
      </c>
      <c r="O1" s="89"/>
      <c r="P1" s="89"/>
      <c r="Q1" s="89"/>
      <c r="R1" s="89"/>
      <c r="S1" s="89"/>
      <c r="T1" s="89"/>
      <c r="U1" s="89"/>
      <c r="V1" s="89"/>
      <c r="W1" s="88"/>
      <c r="X1" s="89"/>
      <c r="Y1" s="89"/>
      <c r="Z1" s="89"/>
      <c r="AA1" s="89"/>
      <c r="AB1" s="89"/>
      <c r="AC1" s="89"/>
      <c r="AD1" s="89"/>
      <c r="AE1" s="89"/>
      <c r="AF1" s="89"/>
      <c r="AG1" s="89"/>
      <c r="AH1" s="89"/>
      <c r="AI1" s="85"/>
      <c r="AJ1" s="85"/>
      <c r="AK1" s="85"/>
      <c r="AL1" s="85"/>
      <c r="AM1" s="85"/>
      <c r="AN1" s="85"/>
      <c r="AO1" s="85"/>
      <c r="AP1" s="85"/>
      <c r="AQ1" s="85"/>
      <c r="AR1" s="85"/>
      <c r="AS1" s="85"/>
      <c r="AT1" s="85"/>
      <c r="AU1" s="85"/>
      <c r="AV1" s="85"/>
      <c r="AW1" s="85"/>
      <c r="AX1" s="85"/>
      <c r="AY1" s="85"/>
      <c r="AZ1" s="85"/>
    </row>
    <row r="2" spans="1:52" s="86" customFormat="1" ht="24" customHeight="1" x14ac:dyDescent="0.25">
      <c r="A2" s="2"/>
      <c r="B2" s="2"/>
      <c r="C2" s="2"/>
      <c r="D2" s="2"/>
      <c r="E2" s="2"/>
      <c r="F2" s="2"/>
      <c r="G2" s="2"/>
      <c r="H2" s="2"/>
      <c r="I2" s="2"/>
      <c r="J2" s="2"/>
      <c r="K2" s="2"/>
      <c r="L2" s="89"/>
      <c r="M2" s="89" t="s">
        <v>290</v>
      </c>
      <c r="N2" s="89" t="str">
        <f>'Flow Rate Charts'!M37</f>
        <v xml:space="preserve"> </v>
      </c>
      <c r="O2" s="137" t="s">
        <v>283</v>
      </c>
      <c r="P2" s="318" t="str">
        <f>IF('2-Sizing'!G18=0, " -- ", IF('Flow Rate Charts'!M26=10.5,IF(N1=4, " ",CONCATENATE(N2,O2,))," "))</f>
        <v xml:space="preserve"> -- </v>
      </c>
      <c r="Q2" s="89" t="s">
        <v>295</v>
      </c>
      <c r="R2" s="318" t="str">
        <f>IF('Flow Rate Charts'!M26=10.5,CONCATENATE(P2, " x ",P5)," ")</f>
        <v xml:space="preserve"> </v>
      </c>
      <c r="S2" s="89" t="s">
        <v>316</v>
      </c>
      <c r="T2" s="318" t="str">
        <f>IF('Flow Rate Charts'!M26=10.5,CONCATENATE(R2, " ", S2)," ")</f>
        <v xml:space="preserve"> </v>
      </c>
      <c r="U2" s="89"/>
      <c r="V2" s="89"/>
      <c r="W2" s="88"/>
      <c r="X2" s="89"/>
      <c r="Y2" s="89"/>
      <c r="Z2" s="89"/>
      <c r="AA2" s="89"/>
      <c r="AB2" s="89"/>
      <c r="AC2" s="89"/>
      <c r="AD2" s="89"/>
      <c r="AE2" s="89"/>
      <c r="AF2" s="89"/>
      <c r="AG2" s="89"/>
      <c r="AH2" s="89"/>
      <c r="AI2" s="85"/>
      <c r="AJ2" s="85"/>
      <c r="AK2" s="85"/>
      <c r="AL2" s="85"/>
      <c r="AM2" s="85"/>
      <c r="AN2" s="85"/>
      <c r="AO2" s="85"/>
      <c r="AP2" s="85"/>
      <c r="AQ2" s="85"/>
      <c r="AR2" s="85"/>
      <c r="AS2" s="85"/>
      <c r="AT2" s="85"/>
      <c r="AU2" s="85"/>
      <c r="AV2" s="85"/>
      <c r="AW2" s="85"/>
      <c r="AX2" s="85"/>
      <c r="AY2" s="85"/>
      <c r="AZ2" s="85"/>
    </row>
    <row r="3" spans="1:52" s="86" customFormat="1" ht="24" customHeight="1" x14ac:dyDescent="0.25">
      <c r="A3" s="2"/>
      <c r="B3" s="2"/>
      <c r="C3" s="2"/>
      <c r="D3" s="2"/>
      <c r="E3" s="2"/>
      <c r="F3" s="2"/>
      <c r="G3" s="2"/>
      <c r="H3" s="2"/>
      <c r="I3" s="2"/>
      <c r="J3" s="2"/>
      <c r="K3" s="2"/>
      <c r="L3" s="89"/>
      <c r="M3" s="89" t="s">
        <v>289</v>
      </c>
      <c r="N3" s="89">
        <f>'2-Sizing'!$R$17</f>
        <v>1</v>
      </c>
      <c r="O3" s="137" t="s">
        <v>265</v>
      </c>
      <c r="P3" s="89" t="str">
        <f>IF('2-Sizing'!G18=0, " -- ", CONCATENATE(N3,O3,))</f>
        <v xml:space="preserve"> -- </v>
      </c>
      <c r="Q3" s="89"/>
      <c r="R3" s="89"/>
      <c r="S3" s="89"/>
      <c r="T3" s="89"/>
      <c r="U3" s="89"/>
      <c r="V3" s="89"/>
      <c r="W3" s="88"/>
      <c r="X3" s="89"/>
      <c r="Y3" s="89"/>
      <c r="Z3" s="89"/>
      <c r="AA3" s="89"/>
      <c r="AB3" s="89"/>
      <c r="AC3" s="89"/>
      <c r="AD3" s="89"/>
      <c r="AE3" s="89"/>
      <c r="AF3" s="89"/>
      <c r="AG3" s="89"/>
      <c r="AH3" s="89"/>
      <c r="AI3" s="85"/>
      <c r="AJ3" s="85"/>
      <c r="AK3" s="85"/>
      <c r="AL3" s="85"/>
      <c r="AM3" s="85"/>
      <c r="AN3" s="85"/>
      <c r="AO3" s="85"/>
      <c r="AP3" s="85"/>
      <c r="AQ3" s="85"/>
      <c r="AR3" s="85"/>
      <c r="AS3" s="85"/>
      <c r="AT3" s="85"/>
      <c r="AU3" s="85"/>
      <c r="AV3" s="85"/>
      <c r="AW3" s="85"/>
      <c r="AX3" s="85"/>
      <c r="AY3" s="85"/>
      <c r="AZ3" s="85"/>
    </row>
    <row r="4" spans="1:52" s="86" customFormat="1" ht="24" customHeight="1" x14ac:dyDescent="0.25">
      <c r="A4" s="2"/>
      <c r="B4" s="2"/>
      <c r="C4" s="2"/>
      <c r="D4" s="2"/>
      <c r="E4" s="2"/>
      <c r="F4" s="2"/>
      <c r="G4" s="2"/>
      <c r="H4" s="2"/>
      <c r="I4" s="2"/>
      <c r="J4" s="2"/>
      <c r="K4" s="2"/>
      <c r="L4" s="89"/>
      <c r="M4" s="89" t="s">
        <v>282</v>
      </c>
      <c r="N4" s="89">
        <v>29.5</v>
      </c>
      <c r="O4" s="137" t="s">
        <v>283</v>
      </c>
      <c r="P4" s="318" t="str">
        <f>IF('2-Sizing'!G18=0, " -- ", IF('Flow Rate Charts'!M26=10.5,CONCATENATE(N4,O4,)," "))</f>
        <v xml:space="preserve"> -- </v>
      </c>
      <c r="Q4" s="89"/>
      <c r="R4" s="89"/>
      <c r="S4" s="89"/>
      <c r="T4" s="89"/>
      <c r="U4" s="89"/>
      <c r="V4" s="89"/>
      <c r="W4" s="88"/>
      <c r="X4" s="89"/>
      <c r="Y4" s="89"/>
      <c r="Z4" s="89"/>
      <c r="AA4" s="89"/>
      <c r="AB4" s="89"/>
      <c r="AC4" s="89"/>
      <c r="AD4" s="89"/>
      <c r="AE4" s="89"/>
      <c r="AF4" s="89"/>
      <c r="AG4" s="89"/>
      <c r="AH4" s="89"/>
      <c r="AI4" s="85"/>
      <c r="AJ4" s="85"/>
      <c r="AK4" s="85"/>
      <c r="AL4" s="85"/>
      <c r="AM4" s="85"/>
      <c r="AN4" s="85"/>
      <c r="AO4" s="85"/>
      <c r="AP4" s="85"/>
      <c r="AQ4" s="85"/>
      <c r="AR4" s="85"/>
      <c r="AS4" s="85"/>
      <c r="AT4" s="85"/>
      <c r="AU4" s="85"/>
      <c r="AV4" s="85"/>
      <c r="AW4" s="85"/>
      <c r="AX4" s="85"/>
      <c r="AY4" s="85"/>
      <c r="AZ4" s="85"/>
    </row>
    <row r="5" spans="1:52" s="86" customFormat="1" ht="24" customHeight="1" x14ac:dyDescent="0.25">
      <c r="A5" s="2"/>
      <c r="B5" s="2"/>
      <c r="C5" s="2"/>
      <c r="D5" s="2"/>
      <c r="E5" s="2"/>
      <c r="F5" s="2"/>
      <c r="G5" s="2"/>
      <c r="H5" s="2"/>
      <c r="I5" s="2"/>
      <c r="J5" s="2"/>
      <c r="K5" s="2"/>
      <c r="L5" s="89"/>
      <c r="M5" s="136" t="s">
        <v>288</v>
      </c>
      <c r="N5" s="136">
        <f>'Flow Rate Charts'!M36</f>
        <v>48</v>
      </c>
      <c r="O5" s="137" t="str">
        <f>IF(N5=48, "-in Round", "-in")</f>
        <v>-in Round</v>
      </c>
      <c r="P5" s="89" t="str">
        <f>IF('2-Sizing'!G18=0, " -- ", CONCATENATE(N5,O5,))</f>
        <v xml:space="preserve"> -- </v>
      </c>
      <c r="Q5" s="89"/>
      <c r="R5" s="89"/>
      <c r="S5" s="89"/>
      <c r="T5" s="89"/>
      <c r="U5" s="89"/>
      <c r="V5" s="89"/>
      <c r="W5" s="88"/>
      <c r="X5" s="89"/>
      <c r="Y5" s="89"/>
      <c r="Z5" s="89"/>
      <c r="AA5" s="89"/>
      <c r="AB5" s="89"/>
      <c r="AC5" s="89"/>
      <c r="AD5" s="89"/>
      <c r="AE5" s="89"/>
      <c r="AF5" s="89"/>
      <c r="AG5" s="89"/>
      <c r="AH5" s="89"/>
      <c r="AI5" s="85"/>
      <c r="AJ5" s="85"/>
      <c r="AK5" s="85"/>
      <c r="AL5" s="85"/>
      <c r="AM5" s="85"/>
      <c r="AN5" s="85"/>
      <c r="AO5" s="85"/>
      <c r="AP5" s="85"/>
      <c r="AQ5" s="85"/>
      <c r="AR5" s="85"/>
      <c r="AS5" s="85"/>
      <c r="AT5" s="85"/>
      <c r="AU5" s="85"/>
      <c r="AV5" s="85"/>
      <c r="AW5" s="85"/>
      <c r="AX5" s="85"/>
      <c r="AY5" s="85"/>
      <c r="AZ5" s="85"/>
    </row>
    <row r="6" spans="1:52" s="86" customFormat="1" ht="24" customHeight="1" x14ac:dyDescent="0.25">
      <c r="A6" s="2"/>
      <c r="B6" s="2"/>
      <c r="C6" s="2"/>
      <c r="D6" s="2"/>
      <c r="E6" s="2"/>
      <c r="F6" s="2"/>
      <c r="G6" s="2"/>
      <c r="H6" s="2"/>
      <c r="I6" s="2"/>
      <c r="J6" s="2"/>
      <c r="K6" s="2"/>
      <c r="L6" s="89"/>
      <c r="M6" s="136" t="s">
        <v>293</v>
      </c>
      <c r="N6" s="136">
        <f>VLOOKUP($N$1,Performance!M13:Y21,11)</f>
        <v>15</v>
      </c>
      <c r="O6" s="137" t="s">
        <v>283</v>
      </c>
      <c r="P6" s="89" t="str">
        <f>IF('2-Sizing'!G18=0, " -- ",CONCATENATE(N6,O6))</f>
        <v xml:space="preserve"> -- </v>
      </c>
      <c r="Q6" s="89"/>
      <c r="R6" s="89"/>
      <c r="S6" s="89"/>
      <c r="T6" s="89"/>
      <c r="U6" s="89"/>
      <c r="V6" s="89"/>
      <c r="W6" s="88"/>
      <c r="X6" s="89"/>
      <c r="Y6" s="89"/>
      <c r="Z6" s="89"/>
      <c r="AA6" s="89"/>
      <c r="AB6" s="89"/>
      <c r="AC6" s="89"/>
      <c r="AD6" s="89"/>
      <c r="AE6" s="89"/>
      <c r="AF6" s="89"/>
      <c r="AG6" s="89"/>
      <c r="AH6" s="89"/>
      <c r="AI6" s="85"/>
      <c r="AJ6" s="85"/>
      <c r="AK6" s="85"/>
      <c r="AL6" s="85"/>
      <c r="AM6" s="85"/>
      <c r="AN6" s="85"/>
      <c r="AO6" s="85"/>
      <c r="AP6" s="85"/>
      <c r="AQ6" s="85"/>
      <c r="AR6" s="85"/>
      <c r="AS6" s="85"/>
      <c r="AT6" s="85"/>
      <c r="AU6" s="85"/>
      <c r="AV6" s="85"/>
      <c r="AW6" s="85"/>
      <c r="AX6" s="85"/>
      <c r="AY6" s="85"/>
      <c r="AZ6" s="85"/>
    </row>
    <row r="7" spans="1:52" s="86" customFormat="1" ht="24" customHeight="1" x14ac:dyDescent="0.25">
      <c r="A7" s="2"/>
      <c r="B7" s="2"/>
      <c r="C7" s="2"/>
      <c r="D7" s="2"/>
      <c r="E7" s="2"/>
      <c r="F7" s="2"/>
      <c r="G7" s="2"/>
      <c r="H7" s="2"/>
      <c r="I7" s="2"/>
      <c r="J7" s="2"/>
      <c r="K7" s="2"/>
      <c r="L7" s="89"/>
      <c r="M7" s="136" t="s">
        <v>319</v>
      </c>
      <c r="N7" s="327">
        <f>'3a-DWG 1-6 Modules (Online)'!N7</f>
        <v>5.6000000000000001E-2</v>
      </c>
      <c r="O7" s="137" t="str">
        <f>'3a-DWG 1-6 Modules (Online)'!O7</f>
        <v>-cfs</v>
      </c>
      <c r="P7" s="318" t="str">
        <f>IF('2-Sizing'!G18=0, " -- ",IF('Flow Rate Charts'!M26=10.5,CONCATENATE(N7,O7)," "))</f>
        <v xml:space="preserve"> -- </v>
      </c>
      <c r="Q7" s="89" t="s">
        <v>320</v>
      </c>
      <c r="R7" s="89">
        <f>19*N7</f>
        <v>1.0640000000000001</v>
      </c>
      <c r="S7" s="318" t="str">
        <f>IF('Flow Rate Charts'!M26=10.5,CONCATENATE(R7,O7)," ")</f>
        <v xml:space="preserve"> </v>
      </c>
      <c r="T7" s="89"/>
      <c r="U7" s="89"/>
      <c r="V7" s="89"/>
      <c r="W7" s="88"/>
      <c r="X7" s="89"/>
      <c r="Y7" s="89"/>
      <c r="Z7" s="89"/>
      <c r="AA7" s="89"/>
      <c r="AB7" s="89"/>
      <c r="AC7" s="89"/>
      <c r="AD7" s="89"/>
      <c r="AE7" s="89"/>
      <c r="AF7" s="89"/>
      <c r="AG7" s="89"/>
      <c r="AH7" s="89"/>
      <c r="AI7" s="85"/>
      <c r="AJ7" s="85"/>
      <c r="AK7" s="85"/>
      <c r="AL7" s="85"/>
      <c r="AM7" s="85"/>
      <c r="AN7" s="85"/>
      <c r="AO7" s="85"/>
      <c r="AP7" s="85"/>
      <c r="AQ7" s="85"/>
      <c r="AR7" s="85"/>
      <c r="AS7" s="85"/>
      <c r="AT7" s="85"/>
      <c r="AU7" s="85"/>
      <c r="AV7" s="85"/>
      <c r="AW7" s="85"/>
      <c r="AX7" s="85"/>
      <c r="AY7" s="85"/>
      <c r="AZ7" s="85"/>
    </row>
    <row r="8" spans="1:52" s="86" customFormat="1" ht="24" customHeight="1" x14ac:dyDescent="0.25">
      <c r="A8" s="2"/>
      <c r="B8" s="2"/>
      <c r="C8" s="2"/>
      <c r="D8" s="2"/>
      <c r="E8" s="2"/>
      <c r="F8" s="2"/>
      <c r="G8" s="2"/>
      <c r="H8" s="2"/>
      <c r="I8" s="2"/>
      <c r="J8" s="2"/>
      <c r="K8" s="2"/>
      <c r="L8" s="89"/>
      <c r="M8" s="136" t="s">
        <v>48</v>
      </c>
      <c r="N8" s="293">
        <f>IF(N1=4,ROUNDUP('2-Sizing'!V18,0), "Varies")</f>
        <v>0</v>
      </c>
      <c r="O8" s="137" t="str">
        <f>IF(N8="Varies", " ", "-gpm")</f>
        <v>-gpm</v>
      </c>
      <c r="P8" s="318" t="str">
        <f>IF('2-Sizing'!G18=0, " -- ",IF('Flow Rate Charts'!M26=10.5,CONCATENATE(N8,O8)," "))</f>
        <v xml:space="preserve"> -- </v>
      </c>
      <c r="Q8" s="89"/>
      <c r="R8" s="89"/>
      <c r="S8" s="89"/>
      <c r="T8" s="89"/>
      <c r="U8" s="89"/>
      <c r="V8" s="89"/>
      <c r="W8" s="88"/>
      <c r="X8" s="89"/>
      <c r="Y8" s="89"/>
      <c r="Z8" s="89"/>
      <c r="AA8" s="89"/>
      <c r="AB8" s="89"/>
      <c r="AC8" s="89"/>
      <c r="AD8" s="89"/>
      <c r="AE8" s="89"/>
      <c r="AF8" s="89"/>
      <c r="AG8" s="89"/>
      <c r="AH8" s="89"/>
      <c r="AI8" s="85"/>
      <c r="AJ8" s="85"/>
      <c r="AK8" s="85"/>
      <c r="AL8" s="85"/>
      <c r="AM8" s="85"/>
      <c r="AN8" s="85"/>
      <c r="AO8" s="85"/>
      <c r="AP8" s="85"/>
      <c r="AQ8" s="85"/>
      <c r="AR8" s="85"/>
      <c r="AS8" s="85"/>
      <c r="AT8" s="85"/>
      <c r="AU8" s="85"/>
      <c r="AV8" s="85"/>
      <c r="AW8" s="85"/>
      <c r="AX8" s="85"/>
      <c r="AY8" s="85"/>
      <c r="AZ8" s="85"/>
    </row>
    <row r="9" spans="1:52" s="86" customFormat="1" ht="24" customHeight="1" x14ac:dyDescent="0.25">
      <c r="A9" s="2"/>
      <c r="B9" s="2"/>
      <c r="C9" s="2"/>
      <c r="D9" s="2"/>
      <c r="E9" s="2"/>
      <c r="F9" s="2"/>
      <c r="G9" s="2"/>
      <c r="H9" s="2"/>
      <c r="I9" s="2"/>
      <c r="J9" s="2"/>
      <c r="K9" s="2"/>
      <c r="L9" s="89"/>
      <c r="M9" s="136" t="s">
        <v>294</v>
      </c>
      <c r="N9" s="293">
        <f>IF('Flow Rate Charts'!M35=4,15,36)</f>
        <v>15</v>
      </c>
      <c r="O9" s="137" t="s">
        <v>283</v>
      </c>
      <c r="P9" s="89" t="str">
        <f>IF('2-Sizing'!G18=0, " -- ",IF('Flow Rate Charts'!M26=10.5,CONCATENATE(N9,O9)," "))</f>
        <v xml:space="preserve"> -- </v>
      </c>
      <c r="Q9" s="89"/>
      <c r="R9" s="89"/>
      <c r="S9" s="89"/>
      <c r="T9" s="89"/>
      <c r="U9" s="89"/>
      <c r="V9" s="89"/>
      <c r="W9" s="88"/>
      <c r="X9" s="89"/>
      <c r="Y9" s="89"/>
      <c r="Z9" s="89"/>
      <c r="AA9" s="89"/>
      <c r="AB9" s="89"/>
      <c r="AC9" s="89"/>
      <c r="AD9" s="89"/>
      <c r="AE9" s="89"/>
      <c r="AF9" s="89"/>
      <c r="AG9" s="89"/>
      <c r="AH9" s="89"/>
      <c r="AI9" s="85"/>
      <c r="AJ9" s="85"/>
      <c r="AK9" s="85"/>
      <c r="AL9" s="85"/>
      <c r="AM9" s="85"/>
      <c r="AN9" s="85"/>
      <c r="AO9" s="85"/>
      <c r="AP9" s="85"/>
      <c r="AQ9" s="85"/>
      <c r="AR9" s="85"/>
      <c r="AS9" s="85"/>
      <c r="AT9" s="85"/>
      <c r="AU9" s="85"/>
      <c r="AV9" s="85"/>
      <c r="AW9" s="85"/>
      <c r="AX9" s="85"/>
      <c r="AY9" s="85"/>
      <c r="AZ9" s="85"/>
    </row>
    <row r="10" spans="1:52" s="86" customFormat="1" ht="24" customHeight="1" x14ac:dyDescent="0.25">
      <c r="A10" s="2"/>
      <c r="B10" s="2"/>
      <c r="C10" s="2"/>
      <c r="D10" s="2"/>
      <c r="E10" s="2"/>
      <c r="F10" s="2"/>
      <c r="G10" s="2"/>
      <c r="H10" s="2"/>
      <c r="I10" s="2"/>
      <c r="J10" s="2"/>
      <c r="K10" s="2"/>
      <c r="L10" s="89"/>
      <c r="M10" s="136" t="s">
        <v>49</v>
      </c>
      <c r="N10" s="311">
        <f>ROUND(VLOOKUP(N1,Performance!M13:U21,9),1)</f>
        <v>16.600000000000001</v>
      </c>
      <c r="O10" s="137" t="s">
        <v>301</v>
      </c>
      <c r="P10" s="318" t="str">
        <f>IF('2-Sizing'!G18=0, " -- ",IF('Flow Rate Charts'!M26=10.5,CONCATENATE(N10,O10)," "))</f>
        <v xml:space="preserve"> -- </v>
      </c>
      <c r="Q10" s="89"/>
      <c r="R10" s="89"/>
      <c r="S10" s="89"/>
      <c r="T10" s="89"/>
      <c r="U10" s="89"/>
      <c r="V10" s="89"/>
      <c r="W10" s="88"/>
      <c r="X10" s="89"/>
      <c r="Y10" s="89"/>
      <c r="Z10" s="89"/>
      <c r="AA10" s="89"/>
      <c r="AB10" s="89"/>
      <c r="AC10" s="89"/>
      <c r="AD10" s="89"/>
      <c r="AE10" s="89"/>
      <c r="AF10" s="89"/>
      <c r="AG10" s="89"/>
      <c r="AH10" s="89"/>
      <c r="AI10" s="85"/>
      <c r="AJ10" s="85"/>
      <c r="AK10" s="85"/>
      <c r="AL10" s="85"/>
      <c r="AM10" s="85"/>
      <c r="AN10" s="85"/>
      <c r="AO10" s="85"/>
      <c r="AP10" s="85"/>
      <c r="AQ10" s="85"/>
      <c r="AR10" s="85"/>
      <c r="AS10" s="85"/>
      <c r="AT10" s="85"/>
      <c r="AU10" s="85"/>
      <c r="AV10" s="85"/>
      <c r="AW10" s="85"/>
      <c r="AX10" s="85"/>
      <c r="AY10" s="85"/>
      <c r="AZ10" s="85"/>
    </row>
    <row r="11" spans="1:52" s="86" customFormat="1" ht="24" customHeight="1" x14ac:dyDescent="0.25">
      <c r="A11" s="2"/>
      <c r="B11" s="2"/>
      <c r="C11" s="2"/>
      <c r="D11" s="2"/>
      <c r="E11" s="2"/>
      <c r="F11" s="2"/>
      <c r="G11" s="2"/>
      <c r="H11" s="2"/>
      <c r="I11" s="2"/>
      <c r="J11" s="2"/>
      <c r="K11" s="2"/>
      <c r="L11" s="89"/>
      <c r="M11" s="136" t="s">
        <v>299</v>
      </c>
      <c r="N11" s="139">
        <f>ROUND(VLOOKUP(N1,Performance!M13:U21,8),1)</f>
        <v>50</v>
      </c>
      <c r="O11" s="137" t="s">
        <v>300</v>
      </c>
      <c r="P11" s="318" t="str">
        <f>IF('2-Sizing'!G18=0, " -- ",IF('Flow Rate Charts'!M26=10.5,CONCATENATE(N11,O11)," "))</f>
        <v xml:space="preserve"> -- </v>
      </c>
      <c r="Q11" s="89"/>
      <c r="R11" s="89"/>
      <c r="S11" s="89"/>
      <c r="T11" s="89"/>
      <c r="U11" s="89"/>
      <c r="V11" s="89"/>
      <c r="W11" s="88"/>
      <c r="X11" s="89"/>
      <c r="Y11" s="89"/>
      <c r="Z11" s="89"/>
      <c r="AA11" s="89"/>
      <c r="AB11" s="89"/>
      <c r="AC11" s="89"/>
      <c r="AD11" s="89"/>
      <c r="AE11" s="89"/>
      <c r="AF11" s="89"/>
      <c r="AG11" s="89"/>
      <c r="AH11" s="89"/>
      <c r="AI11" s="85"/>
      <c r="AJ11" s="85"/>
      <c r="AK11" s="85"/>
      <c r="AL11" s="85"/>
      <c r="AM11" s="85"/>
      <c r="AN11" s="85"/>
      <c r="AO11" s="85"/>
      <c r="AP11" s="85"/>
      <c r="AQ11" s="85"/>
      <c r="AR11" s="85"/>
      <c r="AS11" s="85"/>
      <c r="AT11" s="85"/>
      <c r="AU11" s="85"/>
      <c r="AV11" s="85"/>
      <c r="AW11" s="85"/>
      <c r="AX11" s="85"/>
      <c r="AY11" s="85"/>
      <c r="AZ11" s="85"/>
    </row>
    <row r="12" spans="1:52" s="86" customFormat="1" ht="24" customHeight="1" x14ac:dyDescent="0.25">
      <c r="A12" s="2"/>
      <c r="B12" s="2"/>
      <c r="C12" s="2"/>
      <c r="D12" s="2"/>
      <c r="E12" s="2"/>
      <c r="F12" s="2"/>
      <c r="G12" s="2"/>
      <c r="H12" s="2"/>
      <c r="I12" s="2"/>
      <c r="J12" s="2"/>
      <c r="K12" s="2"/>
      <c r="L12" s="89"/>
      <c r="M12" s="136" t="s">
        <v>52</v>
      </c>
      <c r="N12" s="136">
        <v>5</v>
      </c>
      <c r="O12" s="137" t="s">
        <v>54</v>
      </c>
      <c r="P12" s="89" t="str">
        <f>IF('2-Sizing'!G18=0, " -- ",CONCATENATE("Min. ",N12,O12))</f>
        <v xml:space="preserve"> -- </v>
      </c>
      <c r="Q12" s="89" t="str">
        <f>IF('2-Sizing'!G18=0, " -- ",CONCATENATE(N12,O12))</f>
        <v xml:space="preserve"> -- </v>
      </c>
      <c r="R12" s="89"/>
      <c r="S12" s="89"/>
      <c r="T12" s="89"/>
      <c r="U12" s="89"/>
      <c r="V12" s="89"/>
      <c r="W12" s="88"/>
      <c r="X12" s="89"/>
      <c r="Y12" s="89"/>
      <c r="Z12" s="89"/>
      <c r="AA12" s="89"/>
      <c r="AB12" s="89"/>
      <c r="AC12" s="89"/>
      <c r="AD12" s="89"/>
      <c r="AE12" s="89"/>
      <c r="AF12" s="89"/>
      <c r="AG12" s="89"/>
      <c r="AH12" s="89"/>
      <c r="AI12" s="85"/>
      <c r="AJ12" s="85"/>
      <c r="AK12" s="85"/>
      <c r="AL12" s="85"/>
      <c r="AM12" s="85"/>
      <c r="AN12" s="85"/>
      <c r="AO12" s="85"/>
      <c r="AP12" s="85"/>
      <c r="AQ12" s="85"/>
      <c r="AR12" s="85"/>
      <c r="AS12" s="85"/>
      <c r="AT12" s="85"/>
      <c r="AU12" s="85"/>
      <c r="AV12" s="85"/>
      <c r="AW12" s="85"/>
      <c r="AX12" s="85"/>
      <c r="AY12" s="85"/>
      <c r="AZ12" s="85"/>
    </row>
    <row r="13" spans="1:52" s="86" customFormat="1" ht="24" customHeight="1" x14ac:dyDescent="0.25">
      <c r="A13" s="2"/>
      <c r="B13" s="2"/>
      <c r="C13" s="2"/>
      <c r="D13" s="2"/>
      <c r="E13" s="2"/>
      <c r="F13" s="2"/>
      <c r="G13" s="2"/>
      <c r="H13" s="2"/>
      <c r="I13" s="2"/>
      <c r="J13" s="2"/>
      <c r="K13" s="2"/>
      <c r="L13" s="89"/>
      <c r="M13" s="136" t="s">
        <v>53</v>
      </c>
      <c r="N13" s="136">
        <f>ROUND(VLOOKUP(N1,Performance!M13:U21,2),1)</f>
        <v>3</v>
      </c>
      <c r="O13" s="137" t="s">
        <v>54</v>
      </c>
      <c r="P13" s="89" t="str">
        <f>IF('2-Sizing'!G18=0, " -- ",CONCATENATE("Std. ",N13,O13))</f>
        <v xml:space="preserve"> -- </v>
      </c>
      <c r="Q13" s="89" t="str">
        <f>IF('2-Sizing'!G18=0, " -- ",CONCATENATE(N13,O13))</f>
        <v xml:space="preserve"> -- </v>
      </c>
      <c r="R13" s="89"/>
      <c r="S13" s="89"/>
      <c r="T13" s="89"/>
      <c r="U13" s="89"/>
      <c r="V13" s="89"/>
      <c r="W13" s="88"/>
      <c r="X13" s="89"/>
      <c r="Y13" s="89"/>
      <c r="Z13" s="89"/>
      <c r="AA13" s="89"/>
      <c r="AB13" s="89"/>
      <c r="AC13" s="89"/>
      <c r="AD13" s="89"/>
      <c r="AE13" s="89"/>
      <c r="AF13" s="89"/>
      <c r="AG13" s="89"/>
      <c r="AH13" s="89"/>
      <c r="AI13" s="85"/>
      <c r="AJ13" s="85"/>
      <c r="AK13" s="85"/>
      <c r="AL13" s="85"/>
      <c r="AM13" s="85"/>
      <c r="AN13" s="85"/>
      <c r="AO13" s="85"/>
      <c r="AP13" s="85"/>
      <c r="AQ13" s="85"/>
      <c r="AR13" s="85"/>
      <c r="AS13" s="85"/>
      <c r="AT13" s="85"/>
      <c r="AU13" s="85"/>
      <c r="AV13" s="85"/>
      <c r="AW13" s="85"/>
      <c r="AX13" s="85"/>
      <c r="AY13" s="85"/>
      <c r="AZ13" s="85"/>
    </row>
    <row r="14" spans="1:52" s="86" customFormat="1" ht="24" customHeight="1" x14ac:dyDescent="0.25">
      <c r="A14" s="2"/>
      <c r="B14" s="2"/>
      <c r="C14" s="2"/>
      <c r="D14" s="2"/>
      <c r="E14" s="2"/>
      <c r="F14" s="2"/>
      <c r="G14" s="2"/>
      <c r="H14" s="2"/>
      <c r="I14" s="2"/>
      <c r="J14" s="2"/>
      <c r="K14" s="2"/>
      <c r="L14" s="89"/>
      <c r="M14" s="136" t="s">
        <v>47</v>
      </c>
      <c r="N14" s="89">
        <f>'2-Sizing'!K20</f>
        <v>15</v>
      </c>
      <c r="O14" s="137" t="s">
        <v>283</v>
      </c>
      <c r="P14" s="318" t="str">
        <f>IF('2-Sizing'!G18=0, " -- ",IF('Flow Rate Charts'!M26=10.5,CONCATENATE(N14,O14)," "))</f>
        <v xml:space="preserve"> -- </v>
      </c>
      <c r="Q14" s="89"/>
      <c r="R14" s="89"/>
      <c r="S14" s="89"/>
      <c r="T14" s="89"/>
      <c r="U14" s="89"/>
      <c r="V14" s="89"/>
      <c r="W14" s="88"/>
      <c r="X14" s="89"/>
      <c r="Y14" s="89"/>
      <c r="Z14" s="89"/>
      <c r="AA14" s="89"/>
      <c r="AB14" s="89"/>
      <c r="AC14" s="89"/>
      <c r="AD14" s="89"/>
      <c r="AE14" s="89"/>
      <c r="AF14" s="89"/>
      <c r="AG14" s="89"/>
      <c r="AH14" s="89"/>
      <c r="AI14" s="85"/>
      <c r="AJ14" s="85"/>
      <c r="AK14" s="85"/>
      <c r="AL14" s="85"/>
      <c r="AM14" s="85"/>
      <c r="AN14" s="85"/>
      <c r="AO14" s="85"/>
      <c r="AP14" s="85"/>
      <c r="AQ14" s="85"/>
      <c r="AR14" s="85"/>
      <c r="AS14" s="85"/>
      <c r="AT14" s="85"/>
      <c r="AU14" s="85"/>
      <c r="AV14" s="85"/>
      <c r="AW14" s="85"/>
      <c r="AX14" s="85"/>
      <c r="AY14" s="85"/>
      <c r="AZ14" s="85"/>
    </row>
    <row r="15" spans="1:52" s="86" customFormat="1" ht="24" customHeight="1" x14ac:dyDescent="0.25">
      <c r="A15" s="2"/>
      <c r="B15" s="2"/>
      <c r="C15" s="2"/>
      <c r="D15" s="2"/>
      <c r="E15" s="2"/>
      <c r="F15" s="2"/>
      <c r="G15" s="2"/>
      <c r="H15" s="2"/>
      <c r="I15" s="2"/>
      <c r="J15" s="2"/>
      <c r="K15" s="2"/>
      <c r="L15" s="89"/>
      <c r="M15" s="136" t="s">
        <v>28</v>
      </c>
      <c r="N15" s="89" t="s">
        <v>55</v>
      </c>
      <c r="O15" s="89"/>
      <c r="P15" s="89"/>
      <c r="Q15" s="89"/>
      <c r="R15" s="89"/>
      <c r="S15" s="89"/>
      <c r="T15" s="89"/>
      <c r="U15" s="89"/>
      <c r="V15" s="89"/>
      <c r="W15" s="88"/>
      <c r="X15" s="89"/>
      <c r="Y15" s="89"/>
      <c r="Z15" s="89"/>
      <c r="AA15" s="89"/>
      <c r="AB15" s="89"/>
      <c r="AC15" s="89"/>
      <c r="AD15" s="89"/>
      <c r="AE15" s="89"/>
      <c r="AF15" s="89"/>
      <c r="AG15" s="89"/>
      <c r="AH15" s="89"/>
      <c r="AI15" s="85"/>
      <c r="AJ15" s="85"/>
      <c r="AK15" s="85"/>
      <c r="AL15" s="85"/>
      <c r="AM15" s="85"/>
      <c r="AN15" s="85"/>
      <c r="AO15" s="85"/>
      <c r="AP15" s="85"/>
      <c r="AQ15" s="85"/>
      <c r="AR15" s="85"/>
      <c r="AS15" s="85"/>
      <c r="AT15" s="85"/>
      <c r="AU15" s="85"/>
      <c r="AV15" s="85"/>
      <c r="AW15" s="85"/>
      <c r="AX15" s="85"/>
      <c r="AY15" s="85"/>
      <c r="AZ15" s="85"/>
    </row>
    <row r="16" spans="1:52" s="86" customFormat="1" ht="24" customHeight="1" x14ac:dyDescent="0.25">
      <c r="A16" s="2"/>
      <c r="B16" s="2"/>
      <c r="C16" s="2"/>
      <c r="D16" s="2"/>
      <c r="E16" s="2"/>
      <c r="F16" s="2"/>
      <c r="G16" s="2"/>
      <c r="H16" s="2"/>
      <c r="I16" s="2"/>
      <c r="J16" s="2"/>
      <c r="K16" s="2"/>
      <c r="L16" s="89"/>
      <c r="M16" s="89"/>
      <c r="N16" s="89" t="s">
        <v>344</v>
      </c>
      <c r="O16" s="89"/>
      <c r="P16" s="89"/>
      <c r="Q16" s="89"/>
      <c r="R16" s="89"/>
      <c r="S16" s="89"/>
      <c r="T16" s="89"/>
      <c r="U16" s="89"/>
      <c r="V16" s="89"/>
      <c r="W16" s="88"/>
      <c r="X16" s="89"/>
      <c r="Y16" s="89"/>
      <c r="Z16" s="89"/>
      <c r="AA16" s="89"/>
      <c r="AB16" s="89"/>
      <c r="AC16" s="89"/>
      <c r="AD16" s="89"/>
      <c r="AE16" s="89"/>
      <c r="AF16" s="89"/>
      <c r="AG16" s="89"/>
      <c r="AH16" s="89"/>
      <c r="AI16" s="85"/>
      <c r="AJ16" s="85"/>
      <c r="AK16" s="85"/>
      <c r="AL16" s="85"/>
      <c r="AM16" s="85"/>
      <c r="AN16" s="85"/>
      <c r="AO16" s="85"/>
      <c r="AP16" s="85"/>
      <c r="AQ16" s="85"/>
      <c r="AR16" s="85"/>
      <c r="AS16" s="85"/>
      <c r="AT16" s="85"/>
      <c r="AU16" s="85"/>
      <c r="AV16" s="85"/>
      <c r="AW16" s="85"/>
      <c r="AX16" s="85"/>
      <c r="AY16" s="85"/>
      <c r="AZ16" s="85"/>
    </row>
    <row r="17" spans="1:52" s="86" customFormat="1" ht="24" customHeight="1" x14ac:dyDescent="0.25">
      <c r="A17" s="2"/>
      <c r="B17" s="2"/>
      <c r="C17" s="2"/>
      <c r="D17" s="2"/>
      <c r="E17" s="2"/>
      <c r="F17" s="2"/>
      <c r="G17" s="2"/>
      <c r="H17" s="2"/>
      <c r="I17" s="2"/>
      <c r="J17" s="2"/>
      <c r="K17" s="2"/>
      <c r="L17" s="89"/>
      <c r="M17" s="89"/>
      <c r="N17" s="89" t="s">
        <v>56</v>
      </c>
      <c r="O17" s="89"/>
      <c r="P17" s="89"/>
      <c r="Q17" s="89"/>
      <c r="R17" s="89"/>
      <c r="S17" s="89"/>
      <c r="T17" s="89"/>
      <c r="U17" s="89"/>
      <c r="V17" s="89"/>
      <c r="W17" s="88"/>
      <c r="X17" s="89"/>
      <c r="Y17" s="89"/>
      <c r="Z17" s="89"/>
      <c r="AA17" s="89"/>
      <c r="AB17" s="89"/>
      <c r="AC17" s="89"/>
      <c r="AD17" s="89"/>
      <c r="AE17" s="89"/>
      <c r="AF17" s="89"/>
      <c r="AG17" s="89"/>
      <c r="AH17" s="89"/>
      <c r="AI17" s="85"/>
      <c r="AJ17" s="85"/>
      <c r="AK17" s="85"/>
      <c r="AL17" s="85"/>
      <c r="AM17" s="85"/>
      <c r="AN17" s="85"/>
      <c r="AO17" s="85"/>
      <c r="AP17" s="85"/>
      <c r="AQ17" s="85"/>
      <c r="AR17" s="85"/>
      <c r="AS17" s="85"/>
      <c r="AT17" s="85"/>
      <c r="AU17" s="85"/>
      <c r="AV17" s="85"/>
      <c r="AW17" s="85"/>
      <c r="AX17" s="85"/>
      <c r="AY17" s="85"/>
      <c r="AZ17" s="85"/>
    </row>
    <row r="18" spans="1:52" s="86" customFormat="1" ht="24" customHeight="1" x14ac:dyDescent="0.25">
      <c r="A18" s="2"/>
      <c r="B18" s="2"/>
      <c r="C18" s="2"/>
      <c r="D18" s="2"/>
      <c r="E18" s="2"/>
      <c r="F18" s="2"/>
      <c r="G18" s="2"/>
      <c r="H18" s="2"/>
      <c r="I18" s="2"/>
      <c r="J18" s="2"/>
      <c r="K18" s="2"/>
      <c r="L18" s="89"/>
      <c r="M18" s="89" t="s">
        <v>313</v>
      </c>
      <c r="N18" s="89">
        <v>8</v>
      </c>
      <c r="O18" s="89">
        <v>19</v>
      </c>
      <c r="P18" s="318" t="str">
        <f>IF('Flow Rate Charts'!M26=10.5,CONCATENATE(N18, " to ",O18)," ")</f>
        <v xml:space="preserve"> </v>
      </c>
      <c r="Q18" s="89"/>
      <c r="R18" s="89"/>
      <c r="S18" s="89"/>
      <c r="T18" s="89"/>
      <c r="U18" s="89"/>
      <c r="V18" s="89"/>
      <c r="W18" s="88"/>
      <c r="X18" s="89"/>
      <c r="Y18" s="89"/>
      <c r="Z18" s="89"/>
      <c r="AA18" s="89"/>
      <c r="AB18" s="89"/>
      <c r="AC18" s="89"/>
      <c r="AD18" s="89"/>
      <c r="AE18" s="89"/>
      <c r="AF18" s="89"/>
      <c r="AG18" s="89"/>
      <c r="AH18" s="89"/>
      <c r="AI18" s="85"/>
      <c r="AJ18" s="85"/>
      <c r="AK18" s="85"/>
      <c r="AL18" s="85"/>
      <c r="AM18" s="85"/>
      <c r="AN18" s="85"/>
      <c r="AO18" s="85"/>
      <c r="AP18" s="85"/>
      <c r="AQ18" s="85"/>
      <c r="AR18" s="85"/>
      <c r="AS18" s="85"/>
      <c r="AT18" s="85"/>
      <c r="AU18" s="85"/>
      <c r="AV18" s="85"/>
      <c r="AW18" s="85"/>
      <c r="AX18" s="85"/>
      <c r="AY18" s="85"/>
      <c r="AZ18" s="85"/>
    </row>
    <row r="19" spans="1:52" s="86" customFormat="1" ht="24" customHeight="1" x14ac:dyDescent="0.25">
      <c r="A19" s="2"/>
      <c r="B19" s="2"/>
      <c r="C19" s="2"/>
      <c r="D19" s="2"/>
      <c r="E19" s="2"/>
      <c r="F19" s="2"/>
      <c r="G19" s="2"/>
      <c r="H19" s="2"/>
      <c r="I19" s="2"/>
      <c r="J19" s="2"/>
      <c r="K19" s="2"/>
      <c r="L19" s="89"/>
      <c r="M19" s="136" t="s">
        <v>120</v>
      </c>
      <c r="N19" s="367">
        <f>IF('2-Sizing'!$K$22=0,N12,(ROUND('2-Sizing'!$K$22,2)))</f>
        <v>5</v>
      </c>
      <c r="O19" s="363" t="str">
        <f>IF('2-Sizing'!G18=0, " -- ",IF('Flow Rate Charts'!M26=10.5,CONCATENATE(N19,"-ft")," "))</f>
        <v xml:space="preserve"> -- </v>
      </c>
      <c r="P19" s="89"/>
      <c r="Q19" s="89"/>
      <c r="R19" s="89"/>
      <c r="S19" s="89"/>
      <c r="T19" s="89"/>
      <c r="U19" s="89"/>
      <c r="V19" s="89"/>
      <c r="W19" s="88"/>
      <c r="X19" s="89"/>
      <c r="Y19" s="89"/>
      <c r="Z19" s="89"/>
      <c r="AA19" s="89"/>
      <c r="AB19" s="89"/>
      <c r="AC19" s="89"/>
      <c r="AD19" s="89"/>
      <c r="AE19" s="89"/>
      <c r="AF19" s="89"/>
      <c r="AG19" s="89"/>
      <c r="AH19" s="89"/>
      <c r="AI19" s="85"/>
      <c r="AJ19" s="85"/>
      <c r="AK19" s="85"/>
      <c r="AL19" s="85"/>
      <c r="AM19" s="85"/>
      <c r="AN19" s="85"/>
      <c r="AO19" s="85"/>
      <c r="AP19" s="85"/>
      <c r="AQ19" s="85"/>
      <c r="AR19" s="85"/>
      <c r="AS19" s="85"/>
      <c r="AT19" s="85"/>
      <c r="AU19" s="85"/>
      <c r="AV19" s="85"/>
      <c r="AW19" s="85"/>
      <c r="AX19" s="85"/>
      <c r="AY19" s="85"/>
      <c r="AZ19" s="85"/>
    </row>
    <row r="20" spans="1:52" s="86" customFormat="1" ht="24" customHeight="1" x14ac:dyDescent="0.25">
      <c r="A20" s="2"/>
      <c r="B20" s="2"/>
      <c r="C20" s="2"/>
      <c r="D20" s="2"/>
      <c r="E20" s="2"/>
      <c r="F20" s="2"/>
      <c r="G20" s="2"/>
      <c r="H20" s="2"/>
      <c r="I20" s="2"/>
      <c r="J20" s="2"/>
      <c r="K20" s="2"/>
      <c r="L20" s="89"/>
      <c r="M20" s="136" t="s">
        <v>119</v>
      </c>
      <c r="N20" s="140">
        <f>ROUND('2-Sizing'!$K$18,2)</f>
        <v>0</v>
      </c>
      <c r="O20" s="317" t="str">
        <f>IF('2-Sizing'!G18=0, " -- ",IF('Flow Rate Charts'!M26=10.5,CONCATENATE(N20,"-ft")," "))</f>
        <v xml:space="preserve"> -- </v>
      </c>
      <c r="P20" s="227" t="str">
        <f>IF('2-Sizing'!G18=0, " -- ",CONCATENATE("EL. = ",N20,"-ft."))</f>
        <v xml:space="preserve"> -- </v>
      </c>
      <c r="Q20" s="89"/>
      <c r="R20" s="89"/>
      <c r="S20" s="89"/>
      <c r="T20" s="89"/>
      <c r="U20" s="89"/>
      <c r="V20" s="89"/>
      <c r="W20" s="88"/>
      <c r="X20" s="89"/>
      <c r="Y20" s="89"/>
      <c r="Z20" s="89"/>
      <c r="AA20" s="89"/>
      <c r="AB20" s="89"/>
      <c r="AC20" s="89"/>
      <c r="AD20" s="89"/>
      <c r="AE20" s="89"/>
      <c r="AF20" s="89"/>
      <c r="AG20" s="89"/>
      <c r="AH20" s="89"/>
      <c r="AI20" s="85"/>
      <c r="AJ20" s="85"/>
      <c r="AK20" s="85"/>
      <c r="AL20" s="85"/>
      <c r="AM20" s="85"/>
      <c r="AN20" s="85"/>
      <c r="AO20" s="85"/>
      <c r="AP20" s="85"/>
      <c r="AQ20" s="85"/>
      <c r="AR20" s="85"/>
      <c r="AS20" s="85"/>
      <c r="AT20" s="85"/>
      <c r="AU20" s="85"/>
      <c r="AV20" s="85"/>
      <c r="AW20" s="85"/>
      <c r="AX20" s="85"/>
      <c r="AY20" s="85"/>
      <c r="AZ20" s="85"/>
    </row>
    <row r="21" spans="1:52" s="86" customFormat="1" ht="24" customHeight="1" x14ac:dyDescent="0.25">
      <c r="A21" s="2"/>
      <c r="B21" s="2"/>
      <c r="C21" s="2"/>
      <c r="D21" s="2"/>
      <c r="E21" s="2"/>
      <c r="F21" s="2"/>
      <c r="G21" s="2"/>
      <c r="H21" s="2"/>
      <c r="I21" s="2"/>
      <c r="J21" s="2"/>
      <c r="K21" s="2"/>
      <c r="L21" s="89"/>
      <c r="M21" s="136" t="s">
        <v>315</v>
      </c>
      <c r="N21" s="370">
        <f>ROUND(N22+2.8,2)</f>
        <v>-0.2</v>
      </c>
      <c r="O21" s="363" t="str">
        <f>IF('2-Sizing'!G18=0, " -- ",IF('Flow Rate Charts'!M26=10.5,CONCATENATE(N21,"-ft")," "))</f>
        <v xml:space="preserve"> -- </v>
      </c>
      <c r="P21" s="89"/>
      <c r="Q21" s="89"/>
      <c r="R21" s="89"/>
      <c r="S21" s="89"/>
      <c r="T21" s="89"/>
      <c r="U21" s="89"/>
      <c r="V21" s="89"/>
      <c r="W21" s="88"/>
      <c r="X21" s="89"/>
      <c r="Y21" s="89"/>
      <c r="Z21" s="89"/>
      <c r="AA21" s="89"/>
      <c r="AB21" s="89"/>
      <c r="AC21" s="89"/>
      <c r="AD21" s="89"/>
      <c r="AE21" s="89"/>
      <c r="AF21" s="89"/>
      <c r="AG21" s="89"/>
      <c r="AH21" s="89"/>
      <c r="AI21" s="85"/>
      <c r="AJ21" s="85"/>
      <c r="AK21" s="85"/>
      <c r="AL21" s="85"/>
      <c r="AM21" s="85"/>
      <c r="AN21" s="85"/>
      <c r="AO21" s="85"/>
      <c r="AP21" s="85"/>
      <c r="AQ21" s="85"/>
      <c r="AR21" s="85"/>
      <c r="AS21" s="85"/>
      <c r="AT21" s="85"/>
      <c r="AU21" s="85"/>
      <c r="AV21" s="85"/>
      <c r="AW21" s="85"/>
      <c r="AX21" s="85"/>
      <c r="AY21" s="85"/>
      <c r="AZ21" s="85"/>
    </row>
    <row r="22" spans="1:52" s="86" customFormat="1" ht="24" customHeight="1" x14ac:dyDescent="0.25">
      <c r="A22" s="2"/>
      <c r="B22" s="2"/>
      <c r="C22" s="2"/>
      <c r="D22" s="2"/>
      <c r="E22" s="2"/>
      <c r="F22" s="2"/>
      <c r="G22" s="2"/>
      <c r="H22" s="2"/>
      <c r="I22" s="2"/>
      <c r="J22" s="2"/>
      <c r="K22" s="2"/>
      <c r="L22" s="89"/>
      <c r="M22" s="136" t="s">
        <v>117</v>
      </c>
      <c r="N22" s="140">
        <f>ROUND(N20-N13,2)</f>
        <v>-3</v>
      </c>
      <c r="O22" s="319" t="str">
        <f>IF('2-Sizing'!G18=0, " -- ",IF('Flow Rate Charts'!M26=10.5,CONCATENATE(N22,"-ft")," "))</f>
        <v xml:space="preserve"> -- </v>
      </c>
      <c r="P22" s="89"/>
      <c r="Q22" s="89"/>
      <c r="R22" s="89"/>
      <c r="S22" s="89"/>
      <c r="T22" s="89"/>
      <c r="U22" s="89"/>
      <c r="V22" s="89"/>
      <c r="W22" s="88"/>
      <c r="X22" s="89"/>
      <c r="Y22" s="89"/>
      <c r="Z22" s="89"/>
      <c r="AA22" s="89"/>
      <c r="AB22" s="89"/>
      <c r="AC22" s="89"/>
      <c r="AD22" s="89"/>
      <c r="AE22" s="89"/>
      <c r="AF22" s="89"/>
      <c r="AG22" s="89"/>
      <c r="AH22" s="89"/>
      <c r="AI22" s="85"/>
      <c r="AJ22" s="85"/>
      <c r="AK22" s="85"/>
      <c r="AL22" s="85"/>
      <c r="AM22" s="85"/>
      <c r="AN22" s="85"/>
      <c r="AO22" s="85"/>
      <c r="AP22" s="85"/>
      <c r="AQ22" s="85"/>
      <c r="AR22" s="85"/>
      <c r="AS22" s="85"/>
      <c r="AT22" s="85"/>
      <c r="AU22" s="85"/>
      <c r="AV22" s="85"/>
      <c r="AW22" s="85"/>
      <c r="AX22" s="85"/>
      <c r="AY22" s="85"/>
      <c r="AZ22" s="85"/>
    </row>
    <row r="23" spans="1:52" s="86" customFormat="1" ht="24" customHeight="1" x14ac:dyDescent="0.25">
      <c r="A23" s="2"/>
      <c r="B23" s="2"/>
      <c r="C23" s="2"/>
      <c r="D23" s="2"/>
      <c r="E23" s="2"/>
      <c r="F23" s="2"/>
      <c r="G23" s="2"/>
      <c r="H23" s="2"/>
      <c r="I23" s="2"/>
      <c r="J23" s="2"/>
      <c r="K23" s="2"/>
      <c r="L23" s="89"/>
      <c r="M23" s="136" t="s">
        <v>123</v>
      </c>
      <c r="N23" s="140">
        <f>ROUND(N19-N20,2)</f>
        <v>5</v>
      </c>
      <c r="O23" s="138" t="str">
        <f>IF('2-Sizing'!G18=0, " -- ",CONCATENATE(N23,"-ft"))</f>
        <v xml:space="preserve"> -- </v>
      </c>
      <c r="P23" s="89"/>
      <c r="Q23" s="89"/>
      <c r="R23" s="89"/>
      <c r="S23" s="89"/>
      <c r="T23" s="89"/>
      <c r="U23" s="89"/>
      <c r="V23" s="89"/>
      <c r="W23" s="88"/>
      <c r="X23" s="89"/>
      <c r="Y23" s="89"/>
      <c r="Z23" s="89"/>
      <c r="AA23" s="89"/>
      <c r="AB23" s="89"/>
      <c r="AC23" s="89"/>
      <c r="AD23" s="89"/>
      <c r="AE23" s="89"/>
      <c r="AF23" s="89"/>
      <c r="AG23" s="89"/>
      <c r="AH23" s="89"/>
      <c r="AI23" s="85"/>
      <c r="AJ23" s="85"/>
      <c r="AK23" s="85"/>
      <c r="AL23" s="85"/>
      <c r="AM23" s="85"/>
      <c r="AN23" s="85"/>
      <c r="AO23" s="85"/>
      <c r="AP23" s="85"/>
      <c r="AQ23" s="85"/>
      <c r="AR23" s="85"/>
      <c r="AS23" s="85"/>
      <c r="AT23" s="85"/>
      <c r="AU23" s="85"/>
      <c r="AV23" s="85"/>
      <c r="AW23" s="85"/>
      <c r="AX23" s="85"/>
      <c r="AY23" s="85"/>
      <c r="AZ23" s="85"/>
    </row>
    <row r="24" spans="1:52" s="86" customFormat="1" ht="24" customHeight="1" x14ac:dyDescent="0.25">
      <c r="A24" s="2"/>
      <c r="B24" s="2"/>
      <c r="C24" s="2"/>
      <c r="D24" s="2"/>
      <c r="E24" s="2"/>
      <c r="F24" s="2"/>
      <c r="G24" s="2"/>
      <c r="H24" s="2"/>
      <c r="I24" s="2"/>
      <c r="J24" s="2"/>
      <c r="K24" s="2"/>
      <c r="L24" s="89"/>
      <c r="M24" s="89" t="s">
        <v>311</v>
      </c>
      <c r="N24" s="89">
        <v>15</v>
      </c>
      <c r="O24" s="137" t="s">
        <v>283</v>
      </c>
      <c r="P24" s="89" t="str">
        <f>IF('2-Sizing'!G18=0, " -- ",CONCATENATE(N24,O24))</f>
        <v xml:space="preserve"> -- </v>
      </c>
      <c r="Q24" s="89"/>
      <c r="R24" s="89"/>
      <c r="S24" s="89"/>
      <c r="T24" s="89"/>
      <c r="U24" s="89"/>
      <c r="V24" s="89"/>
      <c r="W24" s="88"/>
      <c r="X24" s="89"/>
      <c r="Y24" s="89"/>
      <c r="Z24" s="89"/>
      <c r="AA24" s="89"/>
      <c r="AB24" s="89"/>
      <c r="AC24" s="89"/>
      <c r="AD24" s="89"/>
      <c r="AE24" s="89"/>
      <c r="AF24" s="89"/>
      <c r="AG24" s="89"/>
      <c r="AH24" s="89"/>
      <c r="AI24" s="85"/>
      <c r="AJ24" s="85"/>
      <c r="AK24" s="85"/>
      <c r="AL24" s="85"/>
      <c r="AM24" s="85"/>
      <c r="AN24" s="85"/>
      <c r="AO24" s="85"/>
      <c r="AP24" s="85"/>
      <c r="AQ24" s="85"/>
      <c r="AR24" s="85"/>
      <c r="AS24" s="85"/>
      <c r="AT24" s="85"/>
      <c r="AU24" s="85"/>
      <c r="AV24" s="85"/>
      <c r="AW24" s="85"/>
      <c r="AX24" s="85"/>
      <c r="AY24" s="85"/>
      <c r="AZ24" s="85"/>
    </row>
    <row r="25" spans="1:52" s="86" customFormat="1" ht="24" customHeight="1" x14ac:dyDescent="0.25">
      <c r="A25" s="2"/>
      <c r="B25" s="2"/>
      <c r="C25" s="2"/>
      <c r="D25" s="2"/>
      <c r="E25" s="2"/>
      <c r="F25" s="2"/>
      <c r="G25" s="2"/>
      <c r="H25" s="2"/>
      <c r="I25" s="2"/>
      <c r="J25" s="2"/>
      <c r="K25" s="2"/>
      <c r="L25" s="89"/>
      <c r="M25" s="89" t="s">
        <v>312</v>
      </c>
      <c r="N25" s="89">
        <f>ROUNDUP(N20+(29.5/12),2)</f>
        <v>2.46</v>
      </c>
      <c r="O25" s="138" t="str">
        <f>IF('2-Sizing'!G18=0, " -- ",IF('Flow Rate Charts'!M26=10.5,CONCATENATE(N25,"-ft")," "))</f>
        <v xml:space="preserve"> -- </v>
      </c>
      <c r="P25" s="89"/>
      <c r="Q25" s="89"/>
      <c r="R25" s="89"/>
      <c r="S25" s="89"/>
      <c r="T25" s="89"/>
      <c r="U25" s="89"/>
      <c r="V25" s="89"/>
      <c r="W25" s="88"/>
      <c r="X25" s="89"/>
      <c r="Y25" s="89"/>
      <c r="Z25" s="89"/>
      <c r="AA25" s="89"/>
      <c r="AB25" s="89"/>
      <c r="AC25" s="89"/>
      <c r="AD25" s="89"/>
      <c r="AE25" s="89"/>
      <c r="AF25" s="89"/>
      <c r="AG25" s="89"/>
      <c r="AH25" s="89"/>
      <c r="AI25" s="85"/>
      <c r="AJ25" s="85"/>
      <c r="AK25" s="85"/>
      <c r="AL25" s="85"/>
      <c r="AM25" s="85"/>
      <c r="AN25" s="85"/>
      <c r="AO25" s="85"/>
      <c r="AP25" s="85"/>
      <c r="AQ25" s="85"/>
      <c r="AR25" s="85"/>
      <c r="AS25" s="85"/>
      <c r="AT25" s="85"/>
      <c r="AU25" s="85"/>
      <c r="AV25" s="85"/>
      <c r="AW25" s="85"/>
      <c r="AX25" s="85"/>
      <c r="AY25" s="85"/>
      <c r="AZ25" s="85"/>
    </row>
    <row r="26" spans="1:52" s="86" customFormat="1" ht="24" customHeight="1" x14ac:dyDescent="0.25">
      <c r="A26" s="2"/>
      <c r="B26" s="2"/>
      <c r="C26" s="2"/>
      <c r="D26" s="2"/>
      <c r="E26" s="2"/>
      <c r="F26" s="2"/>
      <c r="G26" s="2"/>
      <c r="H26" s="2"/>
      <c r="I26" s="2"/>
      <c r="J26" s="2"/>
      <c r="K26" s="2"/>
      <c r="L26" s="89"/>
      <c r="M26" s="89" t="s">
        <v>317</v>
      </c>
      <c r="N26" s="140">
        <f>ROUND(2+(N19-N20),2)</f>
        <v>7</v>
      </c>
      <c r="O26" s="137">
        <f>N26*12</f>
        <v>84</v>
      </c>
      <c r="P26" s="368" t="str">
        <f>IF('Flow Rate Charts'!M26=10.5,CONCATENATE(O26, "-in")," ")</f>
        <v xml:space="preserve"> </v>
      </c>
      <c r="Q26" s="89"/>
      <c r="R26" s="89"/>
      <c r="S26" s="89"/>
      <c r="T26" s="89"/>
      <c r="U26" s="89"/>
      <c r="V26" s="89"/>
      <c r="W26" s="88"/>
      <c r="X26" s="89"/>
      <c r="Y26" s="89"/>
      <c r="Z26" s="89"/>
      <c r="AA26" s="89"/>
      <c r="AB26" s="89"/>
      <c r="AC26" s="89"/>
      <c r="AD26" s="89"/>
      <c r="AE26" s="89"/>
      <c r="AF26" s="89"/>
      <c r="AG26" s="89"/>
      <c r="AH26" s="89"/>
      <c r="AI26" s="85"/>
      <c r="AJ26" s="85"/>
      <c r="AK26" s="85"/>
      <c r="AL26" s="85"/>
      <c r="AM26" s="85"/>
      <c r="AN26" s="85"/>
      <c r="AO26" s="85"/>
      <c r="AP26" s="85"/>
      <c r="AQ26" s="85"/>
      <c r="AR26" s="85"/>
      <c r="AS26" s="85"/>
      <c r="AT26" s="85"/>
      <c r="AU26" s="85"/>
      <c r="AV26" s="85"/>
      <c r="AW26" s="85"/>
      <c r="AX26" s="85"/>
      <c r="AY26" s="85"/>
      <c r="AZ26" s="85"/>
    </row>
    <row r="27" spans="1:52" s="86" customFormat="1" ht="24" customHeight="1" x14ac:dyDescent="0.25">
      <c r="A27" s="2"/>
      <c r="B27" s="2"/>
      <c r="C27" s="2"/>
      <c r="D27" s="2"/>
      <c r="E27" s="2"/>
      <c r="F27" s="2"/>
      <c r="G27" s="2"/>
      <c r="H27" s="2"/>
      <c r="I27" s="2"/>
      <c r="J27" s="2"/>
      <c r="K27" s="2"/>
      <c r="L27" s="89"/>
      <c r="M27" s="89" t="s">
        <v>318</v>
      </c>
      <c r="N27" s="89" t="str">
        <f>IF('2-Sizing'!C19="St. Louis MSD (20 gpm/Filter Module)","Filter Sand", "CPZ Mix Media")</f>
        <v>CPZ Mix Media</v>
      </c>
      <c r="O27" s="89">
        <f>O26-4</f>
        <v>80</v>
      </c>
      <c r="P27" s="365" t="str">
        <f>IF('Flow Rate Charts'!M26=10.5,CONCATENATE(O27, "-in")," ")</f>
        <v xml:space="preserve"> </v>
      </c>
      <c r="Q27" s="318" t="str">
        <f>IF('Flow Rate Charts'!M26=10.5,N27," ")</f>
        <v xml:space="preserve"> </v>
      </c>
      <c r="R27" s="89"/>
      <c r="S27" s="89"/>
      <c r="T27" s="89"/>
      <c r="U27" s="89"/>
      <c r="V27" s="89"/>
      <c r="W27" s="88"/>
      <c r="X27" s="89"/>
      <c r="Y27" s="89"/>
      <c r="Z27" s="89"/>
      <c r="AA27" s="89"/>
      <c r="AB27" s="89"/>
      <c r="AC27" s="89"/>
      <c r="AD27" s="89"/>
      <c r="AE27" s="89"/>
      <c r="AF27" s="89"/>
      <c r="AG27" s="89"/>
      <c r="AH27" s="89"/>
      <c r="AI27" s="85"/>
      <c r="AJ27" s="85"/>
      <c r="AK27" s="85"/>
      <c r="AL27" s="85"/>
      <c r="AM27" s="85"/>
      <c r="AN27" s="85"/>
      <c r="AO27" s="85"/>
      <c r="AP27" s="85"/>
      <c r="AQ27" s="85"/>
      <c r="AR27" s="85"/>
      <c r="AS27" s="85"/>
      <c r="AT27" s="85"/>
      <c r="AU27" s="85"/>
      <c r="AV27" s="85"/>
      <c r="AW27" s="85"/>
      <c r="AX27" s="85"/>
      <c r="AY27" s="85"/>
      <c r="AZ27" s="85"/>
    </row>
    <row r="28" spans="1:52" s="86" customFormat="1" ht="24" customHeight="1" x14ac:dyDescent="0.25">
      <c r="A28" s="2"/>
      <c r="B28" s="2"/>
      <c r="C28" s="2"/>
      <c r="D28" s="2"/>
      <c r="E28" s="2"/>
      <c r="F28" s="2"/>
      <c r="G28" s="2"/>
      <c r="H28" s="2"/>
      <c r="I28" s="2"/>
      <c r="J28" s="2"/>
      <c r="K28" s="2"/>
      <c r="L28" s="89"/>
      <c r="M28" s="89" t="s">
        <v>332</v>
      </c>
      <c r="N28" s="89" t="str">
        <f>IF('Flow Rate Charts'!M26=4,"Hydro International Does Not Recommend Use of This Drawing for the Design Parameters Entered. Use DWG 1-6 Modules (Online) on Tab 3a.",IF('Flow Rate Charts'!M26=7,"Hydro International Does Not Recommend Use of This Drawing for the Design Parameters Entered. Use DWG 1-7 Mods (On or Offline) on Tab 3b.", IF('Flow Rate Charts'!M26=10.5," ", IF('Flow Rate Charts'!M26=11, "Hydro International Does Not Recommend the Use of This Drawing. Use DWG 20-38 Mods (On or Offline) on Worksheet 3d instead.", IF('Flow Rate Charts'!M26=15,"Hydro International Does Not Recommend the Use of This Drawing. Use DWG 39-57 Mods (On or Offline) on Worksheet 3e instead.", " ")))))</f>
        <v>Hydro International Does Not Recommend Use of This Drawing for the Design Parameters Entered. Use DWG 1-6 Modules (Online) on Tab 3a.</v>
      </c>
      <c r="O28" s="89"/>
      <c r="P28" s="85"/>
      <c r="Q28" s="89"/>
      <c r="R28" s="89"/>
      <c r="S28" s="89"/>
      <c r="T28" s="89"/>
      <c r="U28" s="89"/>
      <c r="V28" s="89"/>
      <c r="W28" s="88"/>
      <c r="X28" s="89"/>
      <c r="Y28" s="89"/>
      <c r="Z28" s="89"/>
      <c r="AA28" s="89"/>
      <c r="AB28" s="89"/>
      <c r="AC28" s="89"/>
      <c r="AD28" s="89"/>
      <c r="AE28" s="89"/>
      <c r="AF28" s="89"/>
      <c r="AG28" s="89"/>
      <c r="AH28" s="89"/>
      <c r="AI28" s="85"/>
      <c r="AJ28" s="85"/>
      <c r="AK28" s="85"/>
      <c r="AL28" s="85"/>
      <c r="AM28" s="85"/>
      <c r="AN28" s="85"/>
      <c r="AO28" s="85"/>
      <c r="AP28" s="85"/>
      <c r="AQ28" s="85"/>
      <c r="AR28" s="85"/>
      <c r="AS28" s="85"/>
      <c r="AT28" s="85"/>
      <c r="AU28" s="85"/>
      <c r="AV28" s="85"/>
      <c r="AW28" s="85"/>
      <c r="AX28" s="85"/>
      <c r="AY28" s="85"/>
      <c r="AZ28" s="85"/>
    </row>
    <row r="29" spans="1:52" s="86" customFormat="1" ht="24" customHeight="1" x14ac:dyDescent="0.25">
      <c r="A29" s="2"/>
      <c r="B29" s="2"/>
      <c r="C29" s="2"/>
      <c r="D29" s="2"/>
      <c r="E29" s="2"/>
      <c r="F29" s="2"/>
      <c r="G29" s="2"/>
      <c r="H29" s="2"/>
      <c r="I29" s="2"/>
      <c r="J29" s="2"/>
      <c r="K29" s="2"/>
      <c r="L29" s="89"/>
      <c r="M29" s="89" t="s">
        <v>373</v>
      </c>
      <c r="N29" s="369">
        <f>ROUND((N19-N21)*12,1)</f>
        <v>62.4</v>
      </c>
      <c r="O29" s="136" t="str">
        <f>IF('2-Sizing'!G18=0, " -- ",IF('Flow Rate Charts'!M26=10.5,CONCATENATE(N29,"-in")," "))</f>
        <v xml:space="preserve"> -- </v>
      </c>
      <c r="P29" s="89"/>
      <c r="Q29" s="89"/>
      <c r="R29" s="89"/>
      <c r="S29" s="89"/>
      <c r="T29" s="89"/>
      <c r="U29" s="89"/>
      <c r="V29" s="89"/>
      <c r="W29" s="88"/>
      <c r="X29" s="89"/>
      <c r="Y29" s="89"/>
      <c r="Z29" s="89"/>
      <c r="AA29" s="89"/>
      <c r="AB29" s="89"/>
      <c r="AC29" s="89"/>
      <c r="AD29" s="89"/>
      <c r="AE29" s="89"/>
      <c r="AF29" s="89"/>
      <c r="AG29" s="89"/>
      <c r="AH29" s="89"/>
      <c r="AI29" s="85"/>
      <c r="AJ29" s="85"/>
      <c r="AK29" s="85"/>
      <c r="AL29" s="85"/>
      <c r="AM29" s="85"/>
      <c r="AN29" s="85"/>
      <c r="AO29" s="85"/>
      <c r="AP29" s="85"/>
      <c r="AQ29" s="85"/>
      <c r="AR29" s="85"/>
      <c r="AS29" s="85"/>
      <c r="AT29" s="85"/>
      <c r="AU29" s="85"/>
      <c r="AV29" s="85"/>
      <c r="AW29" s="85"/>
      <c r="AX29" s="85"/>
      <c r="AY29" s="85"/>
      <c r="AZ29" s="85"/>
    </row>
    <row r="30" spans="1:52" s="86" customFormat="1" ht="24" customHeight="1" x14ac:dyDescent="0.25">
      <c r="A30" s="2"/>
      <c r="B30" s="2"/>
      <c r="C30" s="2"/>
      <c r="D30" s="2"/>
      <c r="E30" s="2"/>
      <c r="F30" s="2"/>
      <c r="G30" s="2"/>
      <c r="H30" s="2"/>
      <c r="I30" s="2"/>
      <c r="J30" s="2"/>
      <c r="K30" s="2"/>
      <c r="L30" s="89"/>
      <c r="M30" s="89"/>
      <c r="N30" s="89"/>
      <c r="O30" s="89"/>
      <c r="P30" s="89"/>
      <c r="Q30" s="89"/>
      <c r="R30" s="89"/>
      <c r="S30" s="89"/>
      <c r="T30" s="89"/>
      <c r="U30" s="89"/>
      <c r="V30" s="89"/>
      <c r="W30" s="88"/>
      <c r="X30" s="89"/>
      <c r="Y30" s="89"/>
      <c r="Z30" s="89"/>
      <c r="AA30" s="89"/>
      <c r="AB30" s="89"/>
      <c r="AC30" s="89"/>
      <c r="AD30" s="89"/>
      <c r="AE30" s="89"/>
      <c r="AF30" s="89"/>
      <c r="AG30" s="89"/>
      <c r="AH30" s="89"/>
      <c r="AI30" s="85"/>
      <c r="AJ30" s="85"/>
      <c r="AK30" s="85"/>
      <c r="AL30" s="85"/>
      <c r="AM30" s="85"/>
      <c r="AN30" s="85"/>
      <c r="AO30" s="85"/>
      <c r="AP30" s="85"/>
      <c r="AQ30" s="85"/>
      <c r="AR30" s="85"/>
      <c r="AS30" s="85"/>
      <c r="AT30" s="85"/>
      <c r="AU30" s="85"/>
      <c r="AV30" s="85"/>
      <c r="AW30" s="85"/>
      <c r="AX30" s="85"/>
      <c r="AY30" s="85"/>
      <c r="AZ30" s="85"/>
    </row>
    <row r="31" spans="1:52" s="86" customFormat="1" ht="24" customHeight="1" x14ac:dyDescent="0.25">
      <c r="A31" s="2"/>
      <c r="B31" s="2"/>
      <c r="C31" s="2"/>
      <c r="D31" s="2"/>
      <c r="E31" s="2"/>
      <c r="F31" s="2"/>
      <c r="G31" s="2"/>
      <c r="H31" s="2"/>
      <c r="I31" s="2"/>
      <c r="J31" s="2"/>
      <c r="K31" s="2"/>
      <c r="L31" s="89"/>
      <c r="M31" s="89"/>
      <c r="N31" s="89"/>
      <c r="O31" s="89"/>
      <c r="P31" s="89"/>
      <c r="Q31" s="89"/>
      <c r="R31" s="89"/>
      <c r="S31" s="89"/>
      <c r="T31" s="89"/>
      <c r="U31" s="89"/>
      <c r="V31" s="89"/>
      <c r="W31" s="88"/>
      <c r="X31" s="89"/>
      <c r="Y31" s="89"/>
      <c r="Z31" s="89"/>
      <c r="AA31" s="89"/>
      <c r="AB31" s="89"/>
      <c r="AC31" s="89"/>
      <c r="AD31" s="89"/>
      <c r="AE31" s="89"/>
      <c r="AF31" s="89"/>
      <c r="AG31" s="89"/>
      <c r="AH31" s="89"/>
      <c r="AI31" s="85"/>
      <c r="AJ31" s="85"/>
      <c r="AK31" s="85"/>
      <c r="AL31" s="85"/>
      <c r="AM31" s="85"/>
      <c r="AN31" s="85"/>
      <c r="AO31" s="85"/>
      <c r="AP31" s="85"/>
      <c r="AQ31" s="85"/>
      <c r="AR31" s="85"/>
      <c r="AS31" s="85"/>
      <c r="AT31" s="85"/>
      <c r="AU31" s="85"/>
      <c r="AV31" s="85"/>
      <c r="AW31" s="85"/>
      <c r="AX31" s="85"/>
      <c r="AY31" s="85"/>
      <c r="AZ31" s="85"/>
    </row>
    <row r="32" spans="1:52" s="86" customFormat="1" ht="24" customHeight="1" x14ac:dyDescent="0.25">
      <c r="A32" s="2"/>
      <c r="B32" s="2"/>
      <c r="C32" s="2"/>
      <c r="D32" s="2"/>
      <c r="E32" s="2"/>
      <c r="F32" s="2"/>
      <c r="G32" s="2"/>
      <c r="H32" s="2"/>
      <c r="I32" s="2"/>
      <c r="J32" s="2"/>
      <c r="K32" s="2"/>
      <c r="L32" s="89"/>
      <c r="M32" s="89"/>
      <c r="N32" s="89"/>
      <c r="O32" s="89"/>
      <c r="P32" s="89"/>
      <c r="Q32" s="89"/>
      <c r="R32" s="89"/>
      <c r="S32" s="89"/>
      <c r="T32" s="89"/>
      <c r="U32" s="89"/>
      <c r="V32" s="89"/>
      <c r="W32" s="88"/>
      <c r="X32" s="89"/>
      <c r="Y32" s="89"/>
      <c r="Z32" s="89"/>
      <c r="AA32" s="89"/>
      <c r="AB32" s="89"/>
      <c r="AC32" s="89"/>
      <c r="AD32" s="89"/>
      <c r="AE32" s="89"/>
      <c r="AF32" s="89"/>
      <c r="AG32" s="89"/>
      <c r="AH32" s="89"/>
      <c r="AI32" s="85"/>
      <c r="AJ32" s="85"/>
      <c r="AK32" s="85"/>
      <c r="AL32" s="85"/>
      <c r="AM32" s="85"/>
      <c r="AN32" s="85"/>
      <c r="AO32" s="85"/>
      <c r="AP32" s="85"/>
      <c r="AQ32" s="85"/>
      <c r="AR32" s="85"/>
      <c r="AS32" s="85"/>
      <c r="AT32" s="85"/>
      <c r="AU32" s="85"/>
      <c r="AV32" s="85"/>
      <c r="AW32" s="85"/>
      <c r="AX32" s="85"/>
      <c r="AY32" s="85"/>
      <c r="AZ32" s="85"/>
    </row>
    <row r="33" spans="1:52" s="86" customFormat="1" ht="24" customHeight="1" x14ac:dyDescent="0.25">
      <c r="A33" s="2"/>
      <c r="B33" s="2"/>
      <c r="C33" s="2"/>
      <c r="D33" s="2"/>
      <c r="E33" s="2"/>
      <c r="F33" s="2"/>
      <c r="G33" s="2"/>
      <c r="H33" s="2"/>
      <c r="I33" s="2"/>
      <c r="J33" s="2"/>
      <c r="K33" s="2"/>
      <c r="L33" s="89"/>
      <c r="M33" s="89"/>
      <c r="N33" s="89"/>
      <c r="O33" s="89"/>
      <c r="P33" s="89"/>
      <c r="Q33" s="89"/>
      <c r="R33" s="89"/>
      <c r="S33" s="89"/>
      <c r="T33" s="89"/>
      <c r="U33" s="89"/>
      <c r="V33" s="89"/>
      <c r="W33" s="88"/>
      <c r="X33" s="89"/>
      <c r="Y33" s="89"/>
      <c r="Z33" s="89"/>
      <c r="AA33" s="89"/>
      <c r="AB33" s="89"/>
      <c r="AC33" s="89"/>
      <c r="AD33" s="89"/>
      <c r="AE33" s="89"/>
      <c r="AF33" s="89"/>
      <c r="AG33" s="89"/>
      <c r="AH33" s="89"/>
      <c r="AI33" s="85"/>
      <c r="AJ33" s="85"/>
      <c r="AK33" s="85"/>
      <c r="AL33" s="85"/>
      <c r="AM33" s="85"/>
      <c r="AN33" s="85"/>
      <c r="AO33" s="85"/>
      <c r="AP33" s="85"/>
      <c r="AQ33" s="85"/>
      <c r="AR33" s="85"/>
      <c r="AS33" s="85"/>
      <c r="AT33" s="85"/>
      <c r="AU33" s="85"/>
      <c r="AV33" s="85"/>
      <c r="AW33" s="85"/>
      <c r="AX33" s="85"/>
      <c r="AY33" s="85"/>
      <c r="AZ33" s="85"/>
    </row>
    <row r="34" spans="1:52" s="86" customFormat="1" ht="24" customHeight="1" x14ac:dyDescent="0.25">
      <c r="A34" s="2"/>
      <c r="B34" s="2"/>
      <c r="C34" s="2"/>
      <c r="D34" s="2"/>
      <c r="E34" s="2"/>
      <c r="F34" s="2"/>
      <c r="G34" s="2"/>
      <c r="H34" s="2"/>
      <c r="I34" s="2"/>
      <c r="J34" s="2"/>
      <c r="K34" s="2"/>
      <c r="L34" s="89"/>
      <c r="M34" s="89"/>
      <c r="N34" s="89"/>
      <c r="O34" s="89"/>
      <c r="P34" s="89"/>
      <c r="Q34" s="89"/>
      <c r="R34" s="89"/>
      <c r="S34" s="89"/>
      <c r="T34" s="89"/>
      <c r="U34" s="89"/>
      <c r="V34" s="89"/>
      <c r="W34" s="88"/>
      <c r="X34" s="89"/>
      <c r="Y34" s="89"/>
      <c r="Z34" s="89"/>
      <c r="AA34" s="89"/>
      <c r="AB34" s="89"/>
      <c r="AC34" s="89"/>
      <c r="AD34" s="89"/>
      <c r="AE34" s="89"/>
      <c r="AF34" s="89"/>
      <c r="AG34" s="89"/>
      <c r="AH34" s="89"/>
      <c r="AI34" s="85"/>
      <c r="AJ34" s="85"/>
      <c r="AK34" s="85"/>
      <c r="AL34" s="85"/>
      <c r="AM34" s="85"/>
      <c r="AN34" s="85"/>
      <c r="AO34" s="85"/>
      <c r="AP34" s="85"/>
      <c r="AQ34" s="85"/>
      <c r="AR34" s="85"/>
      <c r="AS34" s="85"/>
      <c r="AT34" s="85"/>
      <c r="AU34" s="85"/>
      <c r="AV34" s="85"/>
      <c r="AW34" s="85"/>
      <c r="AX34" s="85"/>
      <c r="AY34" s="85"/>
      <c r="AZ34" s="85"/>
    </row>
    <row r="35" spans="1:52" s="86" customFormat="1" ht="24" customHeight="1" x14ac:dyDescent="0.25">
      <c r="A35" s="2"/>
      <c r="B35" s="2"/>
      <c r="C35" s="2"/>
      <c r="D35" s="2"/>
      <c r="E35" s="2"/>
      <c r="F35" s="2"/>
      <c r="G35" s="2"/>
      <c r="H35" s="2"/>
      <c r="I35" s="2"/>
      <c r="J35" s="2"/>
      <c r="K35" s="2"/>
      <c r="L35" s="89"/>
      <c r="M35" s="89"/>
      <c r="N35" s="89"/>
      <c r="O35" s="89"/>
      <c r="P35" s="89"/>
      <c r="Q35" s="89"/>
      <c r="R35" s="89"/>
      <c r="S35" s="89"/>
      <c r="T35" s="89"/>
      <c r="U35" s="89"/>
      <c r="V35" s="89"/>
      <c r="W35" s="88"/>
      <c r="X35" s="89"/>
      <c r="Y35" s="89"/>
      <c r="Z35" s="89"/>
      <c r="AA35" s="89"/>
      <c r="AB35" s="89"/>
      <c r="AC35" s="89"/>
      <c r="AD35" s="89"/>
      <c r="AE35" s="89"/>
      <c r="AF35" s="89"/>
      <c r="AG35" s="89"/>
      <c r="AH35" s="89"/>
      <c r="AI35" s="85"/>
      <c r="AJ35" s="85"/>
      <c r="AK35" s="85"/>
      <c r="AL35" s="85"/>
      <c r="AM35" s="85"/>
      <c r="AN35" s="85"/>
      <c r="AO35" s="85"/>
      <c r="AP35" s="85"/>
      <c r="AQ35" s="85"/>
      <c r="AR35" s="85"/>
      <c r="AS35" s="85"/>
      <c r="AT35" s="85"/>
      <c r="AU35" s="85"/>
      <c r="AV35" s="85"/>
      <c r="AW35" s="85"/>
      <c r="AX35" s="85"/>
      <c r="AY35" s="85"/>
      <c r="AZ35" s="85"/>
    </row>
    <row r="36" spans="1:52" s="86" customFormat="1" ht="24" customHeight="1" x14ac:dyDescent="0.25">
      <c r="A36" s="2"/>
      <c r="B36" s="2"/>
      <c r="C36" s="2"/>
      <c r="D36" s="2"/>
      <c r="E36" s="2"/>
      <c r="F36" s="2"/>
      <c r="G36" s="2"/>
      <c r="H36" s="2"/>
      <c r="I36" s="2"/>
      <c r="J36" s="2"/>
      <c r="K36" s="2"/>
      <c r="L36" s="89"/>
      <c r="M36" s="89"/>
      <c r="N36" s="89"/>
      <c r="O36" s="89"/>
      <c r="P36" s="89"/>
      <c r="Q36" s="89"/>
      <c r="R36" s="89"/>
      <c r="S36" s="89"/>
      <c r="T36" s="89"/>
      <c r="U36" s="89"/>
      <c r="V36" s="89"/>
      <c r="W36" s="88"/>
      <c r="X36" s="89"/>
      <c r="Y36" s="89"/>
      <c r="Z36" s="89"/>
      <c r="AA36" s="89"/>
      <c r="AB36" s="89"/>
      <c r="AC36" s="89"/>
      <c r="AD36" s="89"/>
      <c r="AE36" s="89"/>
      <c r="AF36" s="89"/>
      <c r="AG36" s="89"/>
      <c r="AH36" s="89"/>
      <c r="AI36" s="85"/>
      <c r="AJ36" s="85"/>
      <c r="AK36" s="85"/>
      <c r="AL36" s="85"/>
      <c r="AM36" s="85"/>
      <c r="AN36" s="85"/>
      <c r="AO36" s="85"/>
      <c r="AP36" s="85"/>
      <c r="AQ36" s="85"/>
      <c r="AR36" s="85"/>
      <c r="AS36" s="85"/>
      <c r="AT36" s="85"/>
      <c r="AU36" s="85"/>
      <c r="AV36" s="85"/>
      <c r="AW36" s="85"/>
      <c r="AX36" s="85"/>
      <c r="AY36" s="85"/>
      <c r="AZ36" s="85"/>
    </row>
    <row r="37" spans="1:52" s="86" customFormat="1" ht="24" customHeight="1" x14ac:dyDescent="0.25">
      <c r="A37" s="2"/>
      <c r="B37" s="2"/>
      <c r="C37" s="2"/>
      <c r="D37" s="2"/>
      <c r="E37" s="2"/>
      <c r="F37" s="2"/>
      <c r="G37" s="2"/>
      <c r="H37" s="2"/>
      <c r="I37" s="2"/>
      <c r="J37" s="2"/>
      <c r="K37" s="2"/>
      <c r="L37" s="89"/>
      <c r="M37" s="89"/>
      <c r="N37" s="89"/>
      <c r="O37" s="89"/>
      <c r="P37" s="89"/>
      <c r="Q37" s="89"/>
      <c r="R37" s="89"/>
      <c r="S37" s="89"/>
      <c r="T37" s="89"/>
      <c r="U37" s="89"/>
      <c r="V37" s="89"/>
      <c r="W37" s="88"/>
      <c r="X37" s="89"/>
      <c r="Y37" s="89"/>
      <c r="Z37" s="89"/>
      <c r="AA37" s="89"/>
      <c r="AB37" s="89"/>
      <c r="AC37" s="89"/>
      <c r="AD37" s="89"/>
      <c r="AE37" s="89"/>
      <c r="AF37" s="89"/>
      <c r="AG37" s="89"/>
      <c r="AH37" s="89"/>
      <c r="AI37" s="85"/>
      <c r="AJ37" s="85"/>
      <c r="AK37" s="85"/>
      <c r="AL37" s="85"/>
      <c r="AM37" s="85"/>
      <c r="AN37" s="85"/>
      <c r="AO37" s="85"/>
      <c r="AP37" s="85"/>
      <c r="AQ37" s="85"/>
      <c r="AR37" s="85"/>
      <c r="AS37" s="85"/>
      <c r="AT37" s="85"/>
      <c r="AU37" s="85"/>
      <c r="AV37" s="85"/>
      <c r="AW37" s="85"/>
      <c r="AX37" s="85"/>
      <c r="AY37" s="85"/>
      <c r="AZ37" s="85"/>
    </row>
    <row r="38" spans="1:52" s="86" customFormat="1" ht="24" customHeight="1" x14ac:dyDescent="0.25">
      <c r="A38" s="2"/>
      <c r="B38" s="2"/>
      <c r="C38" s="2"/>
      <c r="D38" s="2"/>
      <c r="E38" s="2"/>
      <c r="F38" s="2"/>
      <c r="G38" s="2"/>
      <c r="H38" s="2"/>
      <c r="I38" s="2"/>
      <c r="J38" s="2"/>
      <c r="K38" s="2"/>
      <c r="L38" s="89"/>
      <c r="M38" s="89"/>
      <c r="N38" s="89"/>
      <c r="O38" s="89"/>
      <c r="P38" s="89"/>
      <c r="Q38" s="89"/>
      <c r="R38" s="89"/>
      <c r="S38" s="89"/>
      <c r="T38" s="89"/>
      <c r="U38" s="89"/>
      <c r="V38" s="89"/>
      <c r="W38" s="88"/>
      <c r="X38" s="89"/>
      <c r="Y38" s="89"/>
      <c r="Z38" s="89"/>
      <c r="AA38" s="89"/>
      <c r="AB38" s="89"/>
      <c r="AC38" s="89"/>
      <c r="AD38" s="89"/>
      <c r="AE38" s="89"/>
      <c r="AF38" s="89"/>
      <c r="AG38" s="89"/>
      <c r="AH38" s="89"/>
      <c r="AI38" s="85"/>
      <c r="AJ38" s="85"/>
      <c r="AK38" s="85"/>
      <c r="AL38" s="85"/>
      <c r="AM38" s="85"/>
      <c r="AN38" s="85"/>
      <c r="AO38" s="85"/>
      <c r="AP38" s="85"/>
      <c r="AQ38" s="85"/>
      <c r="AR38" s="85"/>
      <c r="AS38" s="85"/>
      <c r="AT38" s="85"/>
      <c r="AU38" s="85"/>
      <c r="AV38" s="85"/>
      <c r="AW38" s="85"/>
      <c r="AX38" s="85"/>
      <c r="AY38" s="85"/>
      <c r="AZ38" s="85"/>
    </row>
    <row r="39" spans="1:52" s="86" customFormat="1" ht="24" customHeight="1" x14ac:dyDescent="0.25">
      <c r="A39" s="2"/>
      <c r="B39" s="2"/>
      <c r="C39" s="2"/>
      <c r="D39" s="2"/>
      <c r="E39" s="2"/>
      <c r="F39" s="2"/>
      <c r="G39" s="2"/>
      <c r="H39" s="2"/>
      <c r="I39" s="2"/>
      <c r="J39" s="2"/>
      <c r="K39" s="2"/>
      <c r="L39" s="89"/>
      <c r="M39" s="89"/>
      <c r="N39" s="89"/>
      <c r="O39" s="89"/>
      <c r="P39" s="89"/>
      <c r="Q39" s="89"/>
      <c r="R39" s="89"/>
      <c r="S39" s="89"/>
      <c r="T39" s="89"/>
      <c r="U39" s="89"/>
      <c r="V39" s="89"/>
      <c r="W39" s="88"/>
      <c r="X39" s="89"/>
      <c r="Y39" s="89"/>
      <c r="Z39" s="89"/>
      <c r="AA39" s="89"/>
      <c r="AB39" s="89"/>
      <c r="AC39" s="89"/>
      <c r="AD39" s="89"/>
      <c r="AE39" s="89"/>
      <c r="AF39" s="89"/>
      <c r="AG39" s="89"/>
      <c r="AH39" s="89"/>
      <c r="AI39" s="85"/>
      <c r="AJ39" s="85"/>
      <c r="AK39" s="85"/>
      <c r="AL39" s="85"/>
      <c r="AM39" s="85"/>
      <c r="AN39" s="85"/>
      <c r="AO39" s="85"/>
      <c r="AP39" s="85"/>
      <c r="AQ39" s="85"/>
      <c r="AR39" s="85"/>
      <c r="AS39" s="85"/>
      <c r="AT39" s="85"/>
      <c r="AU39" s="85"/>
      <c r="AV39" s="85"/>
      <c r="AW39" s="85"/>
      <c r="AX39" s="85"/>
      <c r="AY39" s="85"/>
      <c r="AZ39" s="85"/>
    </row>
    <row r="40" spans="1:52" s="86" customFormat="1" ht="24" customHeight="1" x14ac:dyDescent="0.25">
      <c r="A40" s="2"/>
      <c r="B40" s="2"/>
      <c r="C40" s="2"/>
      <c r="D40" s="2"/>
      <c r="E40" s="2"/>
      <c r="F40" s="2"/>
      <c r="G40" s="2"/>
      <c r="H40" s="2"/>
      <c r="I40" s="2"/>
      <c r="J40" s="2"/>
      <c r="K40" s="2"/>
      <c r="L40" s="89"/>
      <c r="M40" s="89"/>
      <c r="N40" s="89"/>
      <c r="O40" s="89"/>
      <c r="P40" s="89"/>
      <c r="Q40" s="89"/>
      <c r="R40" s="89"/>
      <c r="S40" s="89"/>
      <c r="T40" s="89"/>
      <c r="U40" s="89"/>
      <c r="V40" s="89"/>
      <c r="W40" s="88"/>
      <c r="X40" s="89"/>
      <c r="Y40" s="89"/>
      <c r="Z40" s="89"/>
      <c r="AA40" s="89"/>
      <c r="AB40" s="89"/>
      <c r="AC40" s="89"/>
      <c r="AD40" s="89"/>
      <c r="AE40" s="89"/>
      <c r="AF40" s="89"/>
      <c r="AG40" s="89"/>
      <c r="AH40" s="89"/>
      <c r="AI40" s="85"/>
      <c r="AJ40" s="85"/>
      <c r="AK40" s="85"/>
      <c r="AL40" s="85"/>
      <c r="AM40" s="85"/>
      <c r="AN40" s="85"/>
      <c r="AO40" s="85"/>
      <c r="AP40" s="85"/>
      <c r="AQ40" s="85"/>
      <c r="AR40" s="85"/>
      <c r="AS40" s="85"/>
      <c r="AT40" s="85"/>
      <c r="AU40" s="85"/>
      <c r="AV40" s="85"/>
      <c r="AW40" s="85"/>
      <c r="AX40" s="85"/>
      <c r="AY40" s="85"/>
      <c r="AZ40" s="85"/>
    </row>
    <row r="41" spans="1:52" s="86" customFormat="1" ht="24" customHeight="1" x14ac:dyDescent="0.25">
      <c r="A41" s="2"/>
      <c r="B41" s="2"/>
      <c r="C41" s="2"/>
      <c r="D41" s="2"/>
      <c r="E41" s="2"/>
      <c r="F41" s="2"/>
      <c r="G41" s="2"/>
      <c r="H41" s="2"/>
      <c r="I41" s="2"/>
      <c r="J41" s="2"/>
      <c r="K41" s="2"/>
      <c r="L41" s="89"/>
      <c r="M41" s="89"/>
      <c r="N41" s="89"/>
      <c r="O41" s="89"/>
      <c r="P41" s="89"/>
      <c r="Q41" s="89"/>
      <c r="R41" s="89"/>
      <c r="S41" s="89"/>
      <c r="T41" s="89"/>
      <c r="U41" s="89"/>
      <c r="V41" s="89"/>
      <c r="W41" s="88"/>
      <c r="X41" s="89"/>
      <c r="Y41" s="89"/>
      <c r="Z41" s="89"/>
      <c r="AA41" s="89"/>
      <c r="AB41" s="89"/>
      <c r="AC41" s="89"/>
      <c r="AD41" s="89"/>
      <c r="AE41" s="89"/>
      <c r="AF41" s="89"/>
      <c r="AG41" s="89"/>
      <c r="AH41" s="89"/>
      <c r="AI41" s="85"/>
      <c r="AJ41" s="85"/>
      <c r="AK41" s="85"/>
      <c r="AL41" s="85"/>
      <c r="AM41" s="85"/>
      <c r="AN41" s="85"/>
      <c r="AO41" s="85"/>
      <c r="AP41" s="85"/>
      <c r="AQ41" s="85"/>
      <c r="AR41" s="85"/>
      <c r="AS41" s="85"/>
      <c r="AT41" s="85"/>
      <c r="AU41" s="85"/>
      <c r="AV41" s="85"/>
      <c r="AW41" s="85"/>
      <c r="AX41" s="85"/>
      <c r="AY41" s="85"/>
      <c r="AZ41" s="85"/>
    </row>
    <row r="42" spans="1:52" s="86" customFormat="1" ht="24" customHeight="1" x14ac:dyDescent="0.25">
      <c r="A42" s="2"/>
      <c r="B42" s="2"/>
      <c r="C42" s="2"/>
      <c r="D42" s="2"/>
      <c r="E42" s="2"/>
      <c r="F42" s="2"/>
      <c r="G42" s="2"/>
      <c r="H42" s="2"/>
      <c r="I42" s="2"/>
      <c r="J42" s="2"/>
      <c r="K42" s="2"/>
      <c r="L42" s="89"/>
      <c r="M42" s="89"/>
      <c r="N42" s="89"/>
      <c r="O42" s="89"/>
      <c r="P42" s="89"/>
      <c r="Q42" s="89"/>
      <c r="R42" s="89"/>
      <c r="S42" s="89"/>
      <c r="T42" s="89"/>
      <c r="U42" s="89"/>
      <c r="V42" s="89"/>
      <c r="W42" s="88"/>
      <c r="X42" s="89"/>
      <c r="Y42" s="89"/>
      <c r="Z42" s="89"/>
      <c r="AA42" s="89"/>
      <c r="AB42" s="89"/>
      <c r="AC42" s="89"/>
      <c r="AD42" s="89"/>
      <c r="AE42" s="89"/>
      <c r="AF42" s="89"/>
      <c r="AG42" s="89"/>
      <c r="AH42" s="89"/>
      <c r="AI42" s="85"/>
      <c r="AJ42" s="85"/>
      <c r="AK42" s="85"/>
      <c r="AL42" s="85"/>
      <c r="AM42" s="85"/>
      <c r="AN42" s="85"/>
      <c r="AO42" s="85"/>
      <c r="AP42" s="85"/>
      <c r="AQ42" s="85"/>
      <c r="AR42" s="85"/>
      <c r="AS42" s="85"/>
      <c r="AT42" s="85"/>
      <c r="AU42" s="85"/>
      <c r="AV42" s="85"/>
      <c r="AW42" s="85"/>
      <c r="AX42" s="85"/>
      <c r="AY42" s="85"/>
      <c r="AZ42" s="85"/>
    </row>
    <row r="43" spans="1:52" s="86" customFormat="1" ht="24" customHeight="1" x14ac:dyDescent="0.25">
      <c r="A43" s="2"/>
      <c r="B43" s="2"/>
      <c r="C43" s="2"/>
      <c r="D43" s="2"/>
      <c r="E43" s="2"/>
      <c r="F43" s="2"/>
      <c r="G43" s="2"/>
      <c r="H43" s="2"/>
      <c r="I43" s="2"/>
      <c r="J43" s="2"/>
      <c r="K43" s="2"/>
      <c r="L43" s="89"/>
      <c r="M43" s="89"/>
      <c r="N43" s="89"/>
      <c r="O43" s="89"/>
      <c r="P43" s="89"/>
      <c r="Q43" s="89"/>
      <c r="R43" s="89"/>
      <c r="S43" s="89"/>
      <c r="T43" s="89"/>
      <c r="U43" s="89"/>
      <c r="V43" s="89"/>
      <c r="W43" s="88"/>
      <c r="X43" s="89"/>
      <c r="Y43" s="89"/>
      <c r="Z43" s="89"/>
      <c r="AA43" s="89"/>
      <c r="AB43" s="89"/>
      <c r="AC43" s="89"/>
      <c r="AD43" s="89"/>
      <c r="AE43" s="89"/>
      <c r="AF43" s="89"/>
      <c r="AG43" s="89"/>
      <c r="AH43" s="89"/>
      <c r="AI43" s="85"/>
      <c r="AJ43" s="85"/>
      <c r="AK43" s="85"/>
      <c r="AL43" s="85"/>
      <c r="AM43" s="85"/>
      <c r="AN43" s="85"/>
      <c r="AO43" s="85"/>
      <c r="AP43" s="85"/>
      <c r="AQ43" s="85"/>
      <c r="AR43" s="85"/>
      <c r="AS43" s="85"/>
      <c r="AT43" s="85"/>
      <c r="AU43" s="85"/>
      <c r="AV43" s="85"/>
      <c r="AW43" s="85"/>
      <c r="AX43" s="85"/>
      <c r="AY43" s="85"/>
      <c r="AZ43" s="85"/>
    </row>
    <row r="44" spans="1:52" s="86" customFormat="1" ht="24" customHeight="1" x14ac:dyDescent="0.25">
      <c r="A44" s="2"/>
      <c r="B44" s="2"/>
      <c r="C44" s="2"/>
      <c r="D44" s="2"/>
      <c r="E44" s="2"/>
      <c r="F44" s="2"/>
      <c r="G44" s="2"/>
      <c r="H44" s="2"/>
      <c r="I44" s="2"/>
      <c r="J44" s="2"/>
      <c r="K44" s="2"/>
      <c r="L44" s="89"/>
      <c r="M44" s="89"/>
      <c r="N44" s="89"/>
      <c r="O44" s="89"/>
      <c r="P44" s="89"/>
      <c r="Q44" s="89"/>
      <c r="R44" s="89"/>
      <c r="S44" s="89"/>
      <c r="T44" s="89"/>
      <c r="U44" s="89"/>
      <c r="V44" s="89"/>
      <c r="W44" s="88"/>
      <c r="X44" s="89"/>
      <c r="Y44" s="89"/>
      <c r="Z44" s="89"/>
      <c r="AA44" s="89"/>
      <c r="AB44" s="89"/>
      <c r="AC44" s="89"/>
      <c r="AD44" s="89"/>
      <c r="AE44" s="89"/>
      <c r="AF44" s="89"/>
      <c r="AG44" s="89"/>
      <c r="AH44" s="89"/>
      <c r="AI44" s="85"/>
      <c r="AJ44" s="85"/>
      <c r="AK44" s="85"/>
      <c r="AL44" s="85"/>
      <c r="AM44" s="85"/>
      <c r="AN44" s="85"/>
      <c r="AO44" s="85"/>
      <c r="AP44" s="85"/>
      <c r="AQ44" s="85"/>
      <c r="AR44" s="85"/>
      <c r="AS44" s="85"/>
      <c r="AT44" s="85"/>
      <c r="AU44" s="85"/>
      <c r="AV44" s="85"/>
      <c r="AW44" s="85"/>
      <c r="AX44" s="85"/>
      <c r="AY44" s="85"/>
      <c r="AZ44" s="85"/>
    </row>
    <row r="45" spans="1:52" s="86" customFormat="1" x14ac:dyDescent="0.25">
      <c r="A45" s="2"/>
      <c r="B45" s="2"/>
      <c r="C45" s="2"/>
      <c r="D45" s="2"/>
      <c r="E45" s="2"/>
      <c r="F45" s="2"/>
      <c r="G45" s="2"/>
      <c r="H45" s="2"/>
      <c r="I45" s="2"/>
      <c r="J45" s="2"/>
      <c r="K45" s="2"/>
      <c r="L45" s="89"/>
      <c r="M45" s="89"/>
      <c r="N45" s="89"/>
      <c r="O45" s="89"/>
      <c r="P45" s="89"/>
      <c r="Q45" s="89"/>
      <c r="R45" s="89"/>
      <c r="S45" s="89"/>
      <c r="T45" s="89"/>
      <c r="U45" s="89"/>
      <c r="V45" s="89"/>
      <c r="W45" s="88"/>
      <c r="X45" s="89"/>
      <c r="Y45" s="89"/>
      <c r="Z45" s="89"/>
      <c r="AA45" s="89"/>
      <c r="AB45" s="89"/>
      <c r="AC45" s="89"/>
      <c r="AD45" s="89"/>
      <c r="AE45" s="89"/>
      <c r="AF45" s="89"/>
      <c r="AG45" s="89"/>
      <c r="AH45" s="89"/>
      <c r="AI45" s="85"/>
      <c r="AJ45" s="85"/>
      <c r="AK45" s="85"/>
      <c r="AL45" s="85"/>
      <c r="AM45" s="85"/>
      <c r="AN45" s="85"/>
      <c r="AO45" s="85"/>
      <c r="AP45" s="85"/>
      <c r="AQ45" s="85"/>
      <c r="AR45" s="85"/>
      <c r="AS45" s="85"/>
      <c r="AT45" s="85"/>
      <c r="AU45" s="85"/>
      <c r="AV45" s="85"/>
      <c r="AW45" s="85"/>
      <c r="AX45" s="85"/>
      <c r="AY45" s="85"/>
      <c r="AZ45" s="85"/>
    </row>
    <row r="46" spans="1:52" s="86" customFormat="1" ht="27.75" customHeight="1" x14ac:dyDescent="0.25">
      <c r="A46" s="2"/>
      <c r="B46" s="2"/>
      <c r="C46" s="2"/>
      <c r="D46" s="2"/>
      <c r="E46" s="2"/>
      <c r="F46" s="2"/>
      <c r="G46" s="2"/>
      <c r="H46" s="2"/>
      <c r="I46" s="2"/>
      <c r="J46" s="2"/>
      <c r="K46" s="2" t="s">
        <v>323</v>
      </c>
      <c r="L46" s="89"/>
      <c r="M46" s="89"/>
      <c r="N46" s="89"/>
      <c r="O46" s="89"/>
      <c r="P46" s="89"/>
      <c r="Q46" s="89"/>
      <c r="R46" s="89"/>
      <c r="S46" s="89"/>
      <c r="T46" s="89"/>
      <c r="U46" s="89"/>
      <c r="V46" s="89"/>
      <c r="W46" s="88"/>
      <c r="X46" s="89"/>
      <c r="Y46" s="89"/>
      <c r="Z46" s="89"/>
      <c r="AA46" s="89"/>
      <c r="AB46" s="89"/>
      <c r="AC46" s="89"/>
      <c r="AD46" s="89"/>
      <c r="AE46" s="89"/>
      <c r="AF46" s="89"/>
      <c r="AG46" s="89"/>
      <c r="AH46" s="89"/>
      <c r="AI46" s="85"/>
      <c r="AJ46" s="85"/>
      <c r="AK46" s="85"/>
      <c r="AL46" s="85"/>
      <c r="AM46" s="85"/>
      <c r="AN46" s="85"/>
      <c r="AO46" s="85"/>
      <c r="AP46" s="85"/>
      <c r="AQ46" s="85"/>
      <c r="AR46" s="85"/>
      <c r="AS46" s="85"/>
      <c r="AT46" s="85"/>
      <c r="AU46" s="85"/>
      <c r="AV46" s="85"/>
      <c r="AW46" s="85"/>
      <c r="AX46" s="85"/>
      <c r="AY46" s="85"/>
      <c r="AZ46" s="85"/>
    </row>
    <row r="47" spans="1:52" s="85" customFormat="1" ht="51.75" customHeight="1" x14ac:dyDescent="0.25">
      <c r="A47" s="87"/>
      <c r="B47" s="87"/>
      <c r="C47" s="87"/>
      <c r="D47" s="87"/>
      <c r="E47" s="87"/>
      <c r="F47" s="87"/>
      <c r="G47" s="87"/>
      <c r="H47" s="87"/>
      <c r="I47" s="87"/>
      <c r="J47" s="87"/>
      <c r="K47" s="87"/>
      <c r="L47" s="89"/>
      <c r="M47" s="89"/>
      <c r="N47" s="89"/>
      <c r="O47" s="89"/>
      <c r="P47" s="89"/>
      <c r="Q47" s="89"/>
      <c r="R47" s="89"/>
      <c r="S47" s="89"/>
      <c r="T47" s="89"/>
      <c r="U47" s="89"/>
      <c r="V47" s="89"/>
      <c r="W47" s="88"/>
      <c r="X47" s="89"/>
      <c r="Y47" s="89"/>
      <c r="Z47" s="89"/>
      <c r="AA47" s="89"/>
      <c r="AB47" s="89"/>
      <c r="AC47" s="89"/>
      <c r="AD47" s="89"/>
      <c r="AE47" s="89"/>
      <c r="AF47" s="89"/>
      <c r="AG47" s="89"/>
      <c r="AH47" s="89"/>
    </row>
    <row r="48" spans="1:52" s="85" customFormat="1" x14ac:dyDescent="0.25">
      <c r="L48" s="89"/>
      <c r="M48" s="89"/>
      <c r="N48" s="89"/>
      <c r="O48" s="89"/>
      <c r="P48" s="89"/>
      <c r="Q48" s="89"/>
      <c r="R48" s="89"/>
      <c r="S48" s="89"/>
      <c r="T48" s="89"/>
      <c r="U48" s="89"/>
      <c r="V48" s="89"/>
      <c r="W48" s="88"/>
      <c r="X48" s="89"/>
      <c r="Y48" s="89"/>
      <c r="Z48" s="89"/>
      <c r="AA48" s="89"/>
      <c r="AB48" s="89"/>
      <c r="AC48" s="89"/>
      <c r="AD48" s="89"/>
      <c r="AE48" s="89"/>
      <c r="AF48" s="89"/>
      <c r="AG48" s="89"/>
      <c r="AH48" s="89"/>
    </row>
    <row r="49" spans="12:34" s="85" customFormat="1" x14ac:dyDescent="0.25">
      <c r="L49" s="89"/>
      <c r="M49" s="89"/>
      <c r="N49" s="89"/>
      <c r="O49" s="89"/>
      <c r="P49" s="89"/>
      <c r="Q49" s="89"/>
      <c r="R49" s="89"/>
      <c r="S49" s="89"/>
      <c r="T49" s="89"/>
      <c r="U49" s="89"/>
      <c r="V49" s="89"/>
      <c r="W49" s="88"/>
      <c r="X49" s="89"/>
      <c r="Y49" s="89"/>
      <c r="Z49" s="89"/>
      <c r="AA49" s="89"/>
      <c r="AB49" s="89"/>
      <c r="AC49" s="89"/>
      <c r="AD49" s="89"/>
      <c r="AE49" s="89"/>
      <c r="AF49" s="89"/>
      <c r="AG49" s="89"/>
      <c r="AH49" s="89"/>
    </row>
    <row r="50" spans="12:34" s="85" customFormat="1" x14ac:dyDescent="0.25">
      <c r="L50" s="89"/>
      <c r="M50" s="89"/>
      <c r="N50" s="89"/>
      <c r="O50" s="89"/>
      <c r="P50" s="89"/>
      <c r="Q50" s="89"/>
      <c r="R50" s="89"/>
      <c r="S50" s="89"/>
      <c r="T50" s="89"/>
      <c r="U50" s="89"/>
      <c r="V50" s="89"/>
      <c r="W50" s="88"/>
      <c r="X50" s="89"/>
      <c r="Y50" s="89"/>
      <c r="Z50" s="89"/>
      <c r="AA50" s="89"/>
      <c r="AB50" s="89"/>
      <c r="AC50" s="89"/>
      <c r="AD50" s="89"/>
      <c r="AE50" s="89"/>
      <c r="AF50" s="89"/>
      <c r="AG50" s="89"/>
      <c r="AH50" s="89"/>
    </row>
    <row r="51" spans="12:34" s="85" customFormat="1" x14ac:dyDescent="0.25">
      <c r="L51" s="89"/>
      <c r="M51" s="89"/>
      <c r="N51" s="89"/>
      <c r="O51" s="89"/>
      <c r="P51" s="89"/>
      <c r="Q51" s="89"/>
      <c r="R51" s="89"/>
      <c r="S51" s="89"/>
      <c r="T51" s="89"/>
      <c r="U51" s="89"/>
      <c r="V51" s="89"/>
      <c r="W51" s="88"/>
      <c r="X51" s="89"/>
      <c r="Y51" s="89"/>
      <c r="Z51" s="89"/>
      <c r="AA51" s="89"/>
      <c r="AB51" s="89"/>
      <c r="AC51" s="89"/>
      <c r="AD51" s="89"/>
      <c r="AE51" s="89"/>
      <c r="AF51" s="89"/>
      <c r="AG51" s="89"/>
      <c r="AH51" s="89"/>
    </row>
    <row r="52" spans="12:34" s="85" customFormat="1" x14ac:dyDescent="0.25">
      <c r="L52" s="89"/>
      <c r="M52" s="89"/>
      <c r="N52" s="89"/>
      <c r="O52" s="89"/>
      <c r="P52" s="89"/>
      <c r="Q52" s="89"/>
      <c r="R52" s="89"/>
      <c r="S52" s="89"/>
      <c r="T52" s="89"/>
      <c r="U52" s="89"/>
      <c r="V52" s="89"/>
      <c r="W52" s="88"/>
      <c r="X52" s="89"/>
      <c r="Y52" s="89"/>
      <c r="Z52" s="89"/>
      <c r="AA52" s="89"/>
      <c r="AB52" s="89"/>
      <c r="AC52" s="89"/>
      <c r="AD52" s="89"/>
      <c r="AE52" s="89"/>
      <c r="AF52" s="89"/>
      <c r="AG52" s="89"/>
      <c r="AH52" s="89"/>
    </row>
    <row r="53" spans="12:34" s="85" customFormat="1" x14ac:dyDescent="0.25">
      <c r="L53" s="89"/>
      <c r="M53" s="89"/>
      <c r="N53" s="89"/>
      <c r="O53" s="89"/>
      <c r="P53" s="89"/>
      <c r="Q53" s="89"/>
      <c r="R53" s="89"/>
      <c r="S53" s="89"/>
      <c r="T53" s="89"/>
      <c r="U53" s="89"/>
      <c r="V53" s="89"/>
      <c r="W53" s="88"/>
      <c r="X53" s="89"/>
      <c r="Y53" s="89"/>
      <c r="Z53" s="89"/>
      <c r="AA53" s="89"/>
      <c r="AB53" s="89"/>
      <c r="AC53" s="89"/>
      <c r="AD53" s="89"/>
      <c r="AE53" s="89"/>
      <c r="AF53" s="89"/>
      <c r="AG53" s="89"/>
      <c r="AH53" s="89"/>
    </row>
    <row r="54" spans="12:34" s="85" customFormat="1" x14ac:dyDescent="0.25">
      <c r="L54" s="89"/>
      <c r="M54" s="89"/>
      <c r="N54" s="89"/>
      <c r="O54" s="89"/>
      <c r="P54" s="89"/>
      <c r="Q54" s="89"/>
      <c r="R54" s="89"/>
      <c r="S54" s="89"/>
      <c r="T54" s="89"/>
      <c r="U54" s="89"/>
      <c r="V54" s="89"/>
      <c r="W54" s="88"/>
      <c r="X54" s="89"/>
      <c r="Y54" s="89"/>
      <c r="Z54" s="89"/>
      <c r="AA54" s="89"/>
      <c r="AB54" s="89"/>
      <c r="AC54" s="89"/>
      <c r="AD54" s="89"/>
      <c r="AE54" s="89"/>
      <c r="AF54" s="89"/>
      <c r="AG54" s="89"/>
      <c r="AH54" s="89"/>
    </row>
    <row r="55" spans="12:34" s="85" customFormat="1" x14ac:dyDescent="0.25">
      <c r="L55" s="89"/>
      <c r="M55" s="89"/>
      <c r="N55" s="89"/>
      <c r="O55" s="89"/>
      <c r="P55" s="89"/>
      <c r="Q55" s="89"/>
      <c r="R55" s="89"/>
      <c r="S55" s="89"/>
      <c r="T55" s="89"/>
      <c r="U55" s="89"/>
      <c r="V55" s="89"/>
      <c r="W55" s="88"/>
      <c r="X55" s="89"/>
      <c r="Y55" s="89"/>
      <c r="Z55" s="89"/>
      <c r="AA55" s="89"/>
      <c r="AB55" s="89"/>
      <c r="AC55" s="89"/>
      <c r="AD55" s="89"/>
      <c r="AE55" s="89"/>
      <c r="AF55" s="89"/>
      <c r="AG55" s="89"/>
      <c r="AH55" s="89"/>
    </row>
    <row r="56" spans="12:34" s="85" customFormat="1" x14ac:dyDescent="0.25">
      <c r="L56" s="89"/>
      <c r="M56" s="89"/>
      <c r="N56" s="89"/>
      <c r="O56" s="89"/>
      <c r="P56" s="89"/>
      <c r="Q56" s="89"/>
      <c r="R56" s="89"/>
      <c r="S56" s="89"/>
      <c r="T56" s="89"/>
      <c r="U56" s="89"/>
      <c r="V56" s="89"/>
      <c r="W56" s="88"/>
      <c r="X56" s="89"/>
      <c r="Y56" s="89"/>
      <c r="Z56" s="89"/>
      <c r="AA56" s="89"/>
      <c r="AB56" s="89"/>
      <c r="AC56" s="89"/>
      <c r="AD56" s="89"/>
      <c r="AE56" s="89"/>
      <c r="AF56" s="89"/>
      <c r="AG56" s="89"/>
      <c r="AH56" s="89"/>
    </row>
    <row r="57" spans="12:34" s="85" customFormat="1" x14ac:dyDescent="0.25">
      <c r="L57" s="89"/>
      <c r="M57" s="89"/>
      <c r="N57" s="89"/>
      <c r="O57" s="89"/>
      <c r="P57" s="89"/>
      <c r="Q57" s="89"/>
      <c r="R57" s="89"/>
      <c r="S57" s="89"/>
      <c r="T57" s="89"/>
      <c r="U57" s="89"/>
      <c r="V57" s="89"/>
      <c r="W57" s="88"/>
      <c r="X57" s="89"/>
      <c r="Y57" s="89"/>
      <c r="Z57" s="89"/>
      <c r="AA57" s="89"/>
      <c r="AB57" s="89"/>
      <c r="AC57" s="89"/>
      <c r="AD57" s="89"/>
      <c r="AE57" s="89"/>
      <c r="AF57" s="89"/>
      <c r="AG57" s="89"/>
      <c r="AH57" s="89"/>
    </row>
    <row r="58" spans="12:34" s="85" customFormat="1" x14ac:dyDescent="0.25">
      <c r="L58" s="89"/>
      <c r="M58" s="89"/>
      <c r="N58" s="89"/>
      <c r="O58" s="89"/>
      <c r="P58" s="89"/>
      <c r="Q58" s="89"/>
      <c r="R58" s="89"/>
      <c r="S58" s="89"/>
      <c r="T58" s="89"/>
      <c r="U58" s="89"/>
      <c r="V58" s="89"/>
      <c r="W58" s="88"/>
      <c r="X58" s="89"/>
      <c r="Y58" s="89"/>
      <c r="Z58" s="89"/>
      <c r="AA58" s="89"/>
      <c r="AB58" s="89"/>
      <c r="AC58" s="89"/>
      <c r="AD58" s="89"/>
      <c r="AE58" s="89"/>
      <c r="AF58" s="89"/>
      <c r="AG58" s="89"/>
      <c r="AH58" s="89"/>
    </row>
    <row r="59" spans="12:34" s="85" customFormat="1" hidden="1" x14ac:dyDescent="0.25">
      <c r="L59" s="89"/>
      <c r="M59" s="89"/>
      <c r="N59" s="89"/>
      <c r="O59" s="89"/>
      <c r="P59" s="89"/>
      <c r="Q59" s="89"/>
      <c r="R59" s="89"/>
      <c r="S59" s="89"/>
      <c r="T59" s="89"/>
      <c r="U59" s="89"/>
      <c r="V59" s="89"/>
      <c r="W59" s="88"/>
      <c r="X59" s="89"/>
      <c r="Y59" s="89"/>
      <c r="Z59" s="89"/>
      <c r="AA59" s="89"/>
      <c r="AB59" s="89"/>
      <c r="AC59" s="89"/>
      <c r="AD59" s="89"/>
      <c r="AE59" s="89"/>
      <c r="AF59" s="89"/>
      <c r="AG59" s="89"/>
      <c r="AH59" s="89"/>
    </row>
    <row r="60" spans="12:34" s="85" customFormat="1" x14ac:dyDescent="0.25">
      <c r="L60" s="89"/>
      <c r="M60" s="89"/>
      <c r="N60" s="89"/>
      <c r="O60" s="89"/>
      <c r="P60" s="89"/>
      <c r="Q60" s="89"/>
      <c r="R60" s="89"/>
      <c r="S60" s="89"/>
      <c r="T60" s="89"/>
      <c r="U60" s="89"/>
      <c r="V60" s="89"/>
      <c r="W60" s="88"/>
      <c r="X60" s="89"/>
      <c r="Y60" s="89"/>
      <c r="Z60" s="89"/>
      <c r="AA60" s="89"/>
      <c r="AB60" s="89"/>
      <c r="AC60" s="89"/>
      <c r="AD60" s="89"/>
      <c r="AE60" s="89"/>
      <c r="AF60" s="89"/>
      <c r="AG60" s="89"/>
      <c r="AH60" s="89"/>
    </row>
    <row r="61" spans="12:34" s="85" customFormat="1" x14ac:dyDescent="0.25">
      <c r="L61" s="89"/>
      <c r="M61" s="89"/>
      <c r="N61" s="89"/>
      <c r="O61" s="89"/>
      <c r="P61" s="89"/>
      <c r="Q61" s="89"/>
      <c r="R61" s="89"/>
      <c r="S61" s="89"/>
      <c r="T61" s="89"/>
      <c r="U61" s="89"/>
      <c r="V61" s="89"/>
      <c r="W61" s="88"/>
      <c r="X61" s="89"/>
      <c r="Y61" s="89"/>
      <c r="Z61" s="89"/>
      <c r="AA61" s="89"/>
      <c r="AB61" s="89"/>
      <c r="AC61" s="89"/>
      <c r="AD61" s="89"/>
      <c r="AE61" s="89"/>
      <c r="AF61" s="89"/>
      <c r="AG61" s="89"/>
      <c r="AH61" s="89"/>
    </row>
    <row r="62" spans="12:34" s="85" customFormat="1" x14ac:dyDescent="0.25">
      <c r="L62" s="89"/>
      <c r="M62" s="89"/>
      <c r="N62" s="89"/>
      <c r="O62" s="89"/>
      <c r="P62" s="89"/>
      <c r="Q62" s="89"/>
      <c r="R62" s="89"/>
      <c r="S62" s="89"/>
      <c r="T62" s="89"/>
      <c r="U62" s="89"/>
      <c r="V62" s="89"/>
      <c r="W62" s="88"/>
      <c r="X62" s="89"/>
      <c r="Y62" s="89"/>
      <c r="Z62" s="89"/>
      <c r="AA62" s="89"/>
      <c r="AB62" s="89"/>
      <c r="AC62" s="89"/>
      <c r="AD62" s="89"/>
      <c r="AE62" s="89"/>
      <c r="AF62" s="89"/>
      <c r="AG62" s="89"/>
      <c r="AH62" s="89"/>
    </row>
    <row r="63" spans="12:34" s="85" customFormat="1" x14ac:dyDescent="0.25">
      <c r="L63" s="89"/>
      <c r="M63" s="89"/>
      <c r="N63" s="89"/>
      <c r="O63" s="89"/>
      <c r="P63" s="89"/>
      <c r="Q63" s="89"/>
      <c r="R63" s="89"/>
      <c r="S63" s="89"/>
      <c r="T63" s="89"/>
      <c r="U63" s="89"/>
      <c r="V63" s="89"/>
      <c r="W63" s="88"/>
      <c r="X63" s="89"/>
      <c r="Y63" s="89"/>
      <c r="Z63" s="89"/>
      <c r="AA63" s="89"/>
      <c r="AB63" s="89"/>
      <c r="AC63" s="89"/>
      <c r="AD63" s="89"/>
      <c r="AE63" s="89"/>
      <c r="AF63" s="89"/>
      <c r="AG63" s="89"/>
      <c r="AH63" s="89"/>
    </row>
    <row r="64" spans="12:34" s="85" customFormat="1" x14ac:dyDescent="0.25">
      <c r="L64" s="89"/>
      <c r="M64" s="89"/>
      <c r="N64" s="89"/>
      <c r="O64" s="89"/>
      <c r="P64" s="89"/>
      <c r="Q64" s="89"/>
      <c r="R64" s="89"/>
      <c r="S64" s="89"/>
      <c r="T64" s="89"/>
      <c r="U64" s="89"/>
      <c r="V64" s="89"/>
      <c r="W64" s="88"/>
      <c r="X64" s="89"/>
      <c r="Y64" s="89"/>
      <c r="Z64" s="89"/>
      <c r="AA64" s="89"/>
      <c r="AB64" s="89"/>
      <c r="AC64" s="89"/>
      <c r="AD64" s="89"/>
      <c r="AE64" s="89"/>
      <c r="AF64" s="89"/>
      <c r="AG64" s="89"/>
      <c r="AH64" s="89"/>
    </row>
    <row r="65" spans="12:34" s="85" customFormat="1" x14ac:dyDescent="0.25">
      <c r="L65" s="89"/>
      <c r="M65" s="89"/>
      <c r="N65" s="89"/>
      <c r="O65" s="89"/>
      <c r="P65" s="89"/>
      <c r="Q65" s="89"/>
      <c r="R65" s="89"/>
      <c r="S65" s="89"/>
      <c r="T65" s="89"/>
      <c r="U65" s="89"/>
      <c r="V65" s="89"/>
      <c r="W65" s="88"/>
      <c r="X65" s="89"/>
      <c r="Y65" s="89"/>
      <c r="Z65" s="89"/>
      <c r="AA65" s="89"/>
      <c r="AB65" s="89"/>
      <c r="AC65" s="89"/>
      <c r="AD65" s="89"/>
      <c r="AE65" s="89"/>
      <c r="AF65" s="89"/>
      <c r="AG65" s="89"/>
      <c r="AH65" s="89"/>
    </row>
    <row r="66" spans="12:34" s="85" customFormat="1" x14ac:dyDescent="0.25">
      <c r="L66" s="89"/>
      <c r="M66" s="89"/>
      <c r="N66" s="89"/>
      <c r="O66" s="89"/>
      <c r="P66" s="89"/>
      <c r="Q66" s="89"/>
      <c r="R66" s="89"/>
      <c r="S66" s="89"/>
      <c r="T66" s="89"/>
      <c r="U66" s="89"/>
      <c r="V66" s="89"/>
      <c r="W66" s="88"/>
      <c r="X66" s="89"/>
      <c r="Y66" s="89"/>
      <c r="Z66" s="89"/>
      <c r="AA66" s="89"/>
      <c r="AB66" s="89"/>
      <c r="AC66" s="89"/>
      <c r="AD66" s="89"/>
      <c r="AE66" s="89"/>
      <c r="AF66" s="89"/>
      <c r="AG66" s="89"/>
      <c r="AH66" s="89"/>
    </row>
    <row r="67" spans="12:34" s="85" customFormat="1" x14ac:dyDescent="0.25">
      <c r="L67" s="89"/>
      <c r="M67" s="89"/>
      <c r="N67" s="89"/>
      <c r="O67" s="89"/>
      <c r="P67" s="89"/>
      <c r="Q67" s="89"/>
      <c r="R67" s="89"/>
      <c r="S67" s="89"/>
      <c r="T67" s="89"/>
      <c r="U67" s="89"/>
      <c r="V67" s="89"/>
      <c r="W67" s="88"/>
      <c r="X67" s="89"/>
      <c r="Y67" s="89"/>
      <c r="Z67" s="89"/>
      <c r="AA67" s="89"/>
      <c r="AB67" s="89"/>
      <c r="AC67" s="89"/>
      <c r="AD67" s="89"/>
      <c r="AE67" s="89"/>
      <c r="AF67" s="89"/>
      <c r="AG67" s="89"/>
      <c r="AH67" s="89"/>
    </row>
    <row r="68" spans="12:34" s="85" customFormat="1" x14ac:dyDescent="0.25">
      <c r="L68" s="89"/>
      <c r="M68" s="89"/>
      <c r="N68" s="89"/>
      <c r="O68" s="89"/>
      <c r="P68" s="89"/>
      <c r="Q68" s="89"/>
      <c r="R68" s="89"/>
      <c r="S68" s="89"/>
      <c r="T68" s="89"/>
      <c r="U68" s="89"/>
      <c r="V68" s="89"/>
      <c r="W68" s="88"/>
      <c r="X68" s="89"/>
      <c r="Y68" s="89"/>
      <c r="Z68" s="89"/>
      <c r="AA68" s="89"/>
      <c r="AB68" s="89"/>
      <c r="AC68" s="89"/>
      <c r="AD68" s="89"/>
      <c r="AE68" s="89"/>
      <c r="AF68" s="89"/>
      <c r="AG68" s="89"/>
      <c r="AH68" s="89"/>
    </row>
    <row r="69" spans="12:34" s="85" customFormat="1" x14ac:dyDescent="0.25">
      <c r="L69" s="89"/>
      <c r="M69" s="89"/>
      <c r="N69" s="89"/>
      <c r="O69" s="89"/>
      <c r="P69" s="89"/>
      <c r="Q69" s="89"/>
      <c r="R69" s="89"/>
      <c r="S69" s="89"/>
      <c r="T69" s="89"/>
      <c r="U69" s="89"/>
      <c r="V69" s="89"/>
      <c r="W69" s="88"/>
      <c r="X69" s="89"/>
      <c r="Y69" s="89"/>
      <c r="Z69" s="89"/>
      <c r="AA69" s="89"/>
      <c r="AB69" s="89"/>
      <c r="AC69" s="89"/>
      <c r="AD69" s="89"/>
      <c r="AE69" s="89"/>
      <c r="AF69" s="89"/>
      <c r="AG69" s="89"/>
      <c r="AH69" s="89"/>
    </row>
    <row r="70" spans="12:34" s="85" customFormat="1" x14ac:dyDescent="0.25">
      <c r="L70" s="89"/>
      <c r="M70" s="89"/>
      <c r="N70" s="89"/>
      <c r="O70" s="89"/>
      <c r="P70" s="89"/>
      <c r="Q70" s="89"/>
      <c r="R70" s="89"/>
      <c r="S70" s="89"/>
      <c r="T70" s="89"/>
      <c r="U70" s="89"/>
      <c r="V70" s="89"/>
      <c r="W70" s="88"/>
      <c r="X70" s="89"/>
      <c r="Y70" s="89"/>
      <c r="Z70" s="89"/>
      <c r="AA70" s="89"/>
      <c r="AB70" s="89"/>
      <c r="AC70" s="89"/>
      <c r="AD70" s="89"/>
      <c r="AE70" s="89"/>
      <c r="AF70" s="89"/>
      <c r="AG70" s="89"/>
      <c r="AH70" s="89"/>
    </row>
    <row r="71" spans="12:34" s="85" customFormat="1" x14ac:dyDescent="0.25">
      <c r="L71" s="89"/>
      <c r="M71" s="89"/>
      <c r="N71" s="89"/>
      <c r="O71" s="89"/>
      <c r="P71" s="89"/>
      <c r="Q71" s="89"/>
      <c r="R71" s="89"/>
      <c r="S71" s="89"/>
      <c r="T71" s="89"/>
      <c r="U71" s="89"/>
      <c r="V71" s="89"/>
      <c r="W71" s="88"/>
      <c r="X71" s="89"/>
      <c r="Y71" s="89"/>
      <c r="Z71" s="89"/>
      <c r="AA71" s="89"/>
      <c r="AB71" s="89"/>
      <c r="AC71" s="89"/>
      <c r="AD71" s="89"/>
      <c r="AE71" s="89"/>
      <c r="AF71" s="89"/>
      <c r="AG71" s="89"/>
      <c r="AH71" s="89"/>
    </row>
    <row r="72" spans="12:34" s="85" customFormat="1" x14ac:dyDescent="0.25">
      <c r="L72" s="89"/>
      <c r="M72" s="89"/>
      <c r="N72" s="89"/>
      <c r="O72" s="89"/>
      <c r="P72" s="89"/>
      <c r="Q72" s="89"/>
      <c r="R72" s="89"/>
      <c r="S72" s="89"/>
      <c r="T72" s="89"/>
      <c r="U72" s="89"/>
      <c r="V72" s="89"/>
      <c r="W72" s="88"/>
      <c r="X72" s="89"/>
      <c r="Y72" s="89"/>
      <c r="Z72" s="89"/>
      <c r="AA72" s="89"/>
      <c r="AB72" s="89"/>
      <c r="AC72" s="89"/>
      <c r="AD72" s="89"/>
      <c r="AE72" s="89"/>
      <c r="AF72" s="89"/>
      <c r="AG72" s="89"/>
      <c r="AH72" s="89"/>
    </row>
    <row r="73" spans="12:34" s="85" customFormat="1" x14ac:dyDescent="0.25">
      <c r="L73" s="89"/>
      <c r="M73" s="89"/>
      <c r="N73" s="89"/>
      <c r="O73" s="89"/>
      <c r="P73" s="89"/>
      <c r="Q73" s="89"/>
      <c r="R73" s="89"/>
      <c r="S73" s="89"/>
      <c r="T73" s="89"/>
      <c r="U73" s="89"/>
      <c r="V73" s="89"/>
      <c r="W73" s="88"/>
      <c r="X73" s="89"/>
      <c r="Y73" s="89"/>
      <c r="Z73" s="89"/>
      <c r="AA73" s="89"/>
      <c r="AB73" s="89"/>
      <c r="AC73" s="89"/>
      <c r="AD73" s="89"/>
      <c r="AE73" s="89"/>
      <c r="AF73" s="89"/>
      <c r="AG73" s="89"/>
      <c r="AH73" s="89"/>
    </row>
    <row r="74" spans="12:34" s="85" customFormat="1" x14ac:dyDescent="0.25">
      <c r="L74" s="89"/>
      <c r="M74" s="89"/>
      <c r="N74" s="89"/>
      <c r="O74" s="89"/>
      <c r="P74" s="89"/>
      <c r="Q74" s="89"/>
      <c r="R74" s="89"/>
      <c r="S74" s="89"/>
      <c r="T74" s="89"/>
      <c r="U74" s="89"/>
      <c r="V74" s="89"/>
      <c r="W74" s="88"/>
      <c r="X74" s="89"/>
      <c r="Y74" s="89"/>
      <c r="Z74" s="89"/>
      <c r="AA74" s="89"/>
      <c r="AB74" s="89"/>
      <c r="AC74" s="89"/>
      <c r="AD74" s="89"/>
      <c r="AE74" s="89"/>
      <c r="AF74" s="89"/>
      <c r="AG74" s="89"/>
      <c r="AH74" s="89"/>
    </row>
    <row r="75" spans="12:34" s="85" customFormat="1" x14ac:dyDescent="0.25">
      <c r="L75" s="89"/>
      <c r="M75" s="89"/>
      <c r="N75" s="89"/>
      <c r="O75" s="89"/>
      <c r="P75" s="89"/>
      <c r="Q75" s="89"/>
      <c r="R75" s="89"/>
      <c r="S75" s="89"/>
      <c r="T75" s="89"/>
      <c r="U75" s="89"/>
      <c r="V75" s="89"/>
      <c r="W75" s="88"/>
      <c r="X75" s="89"/>
      <c r="Y75" s="89"/>
      <c r="Z75" s="89"/>
      <c r="AA75" s="89"/>
      <c r="AB75" s="89"/>
      <c r="AC75" s="89"/>
      <c r="AD75" s="89"/>
      <c r="AE75" s="89"/>
      <c r="AF75" s="89"/>
      <c r="AG75" s="89"/>
      <c r="AH75" s="89"/>
    </row>
    <row r="76" spans="12:34" s="85" customFormat="1" x14ac:dyDescent="0.25">
      <c r="L76" s="89"/>
      <c r="M76" s="89"/>
      <c r="N76" s="89"/>
      <c r="O76" s="89"/>
      <c r="P76" s="89"/>
      <c r="Q76" s="89"/>
      <c r="R76" s="89"/>
      <c r="S76" s="89"/>
      <c r="T76" s="89"/>
      <c r="U76" s="89"/>
      <c r="V76" s="89"/>
      <c r="W76" s="88"/>
      <c r="X76" s="89"/>
      <c r="Y76" s="89"/>
      <c r="Z76" s="89"/>
      <c r="AA76" s="89"/>
      <c r="AB76" s="89"/>
      <c r="AC76" s="89"/>
      <c r="AD76" s="89"/>
      <c r="AE76" s="89"/>
      <c r="AF76" s="89"/>
      <c r="AG76" s="89"/>
      <c r="AH76" s="89"/>
    </row>
    <row r="77" spans="12:34" s="85" customFormat="1" x14ac:dyDescent="0.25">
      <c r="L77" s="89"/>
      <c r="M77" s="89"/>
      <c r="N77" s="89"/>
      <c r="O77" s="89"/>
      <c r="P77" s="89"/>
      <c r="Q77" s="89"/>
      <c r="R77" s="89"/>
      <c r="S77" s="89"/>
      <c r="T77" s="89"/>
      <c r="U77" s="89"/>
      <c r="V77" s="89"/>
      <c r="W77" s="88"/>
      <c r="X77" s="89"/>
      <c r="Y77" s="89"/>
      <c r="Z77" s="89"/>
      <c r="AA77" s="89"/>
      <c r="AB77" s="89"/>
      <c r="AC77" s="89"/>
      <c r="AD77" s="89"/>
      <c r="AE77" s="89"/>
      <c r="AF77" s="89"/>
      <c r="AG77" s="89"/>
      <c r="AH77" s="89"/>
    </row>
    <row r="78" spans="12:34" s="85" customFormat="1" x14ac:dyDescent="0.25">
      <c r="L78" s="89"/>
      <c r="M78" s="89"/>
      <c r="N78" s="89"/>
      <c r="O78" s="89"/>
      <c r="P78" s="89"/>
      <c r="Q78" s="89"/>
      <c r="R78" s="89"/>
      <c r="S78" s="89"/>
      <c r="T78" s="89"/>
      <c r="U78" s="89"/>
      <c r="V78" s="89"/>
      <c r="W78" s="88"/>
      <c r="X78" s="89"/>
      <c r="Y78" s="89"/>
      <c r="Z78" s="89"/>
      <c r="AA78" s="89"/>
      <c r="AB78" s="89"/>
      <c r="AC78" s="89"/>
      <c r="AD78" s="89"/>
      <c r="AE78" s="89"/>
      <c r="AF78" s="89"/>
      <c r="AG78" s="89"/>
      <c r="AH78" s="89"/>
    </row>
    <row r="79" spans="12:34" s="85" customFormat="1" x14ac:dyDescent="0.25">
      <c r="L79" s="89"/>
      <c r="M79" s="89"/>
      <c r="N79" s="89"/>
      <c r="O79" s="89"/>
      <c r="P79" s="89"/>
      <c r="Q79" s="89"/>
      <c r="R79" s="89"/>
      <c r="S79" s="89"/>
      <c r="T79" s="89"/>
      <c r="U79" s="89"/>
      <c r="V79" s="89"/>
      <c r="W79" s="88"/>
      <c r="X79" s="89"/>
      <c r="Y79" s="89"/>
      <c r="Z79" s="89"/>
      <c r="AA79" s="89"/>
      <c r="AB79" s="89"/>
      <c r="AC79" s="89"/>
      <c r="AD79" s="89"/>
      <c r="AE79" s="89"/>
      <c r="AF79" s="89"/>
      <c r="AG79" s="89"/>
      <c r="AH79" s="89"/>
    </row>
    <row r="80" spans="12:34" s="85" customFormat="1" x14ac:dyDescent="0.25">
      <c r="L80" s="89"/>
      <c r="M80" s="89"/>
      <c r="N80" s="89"/>
      <c r="O80" s="89"/>
      <c r="P80" s="89"/>
      <c r="Q80" s="89"/>
      <c r="R80" s="89"/>
      <c r="S80" s="89"/>
      <c r="T80" s="89"/>
      <c r="U80" s="89"/>
      <c r="V80" s="89"/>
      <c r="W80" s="88"/>
      <c r="X80" s="89"/>
      <c r="Y80" s="89"/>
      <c r="Z80" s="89"/>
      <c r="AA80" s="89"/>
      <c r="AB80" s="89"/>
      <c r="AC80" s="89"/>
      <c r="AD80" s="89"/>
      <c r="AE80" s="89"/>
      <c r="AF80" s="89"/>
      <c r="AG80" s="89"/>
      <c r="AH80" s="89"/>
    </row>
    <row r="81" spans="12:34" s="85" customFormat="1" x14ac:dyDescent="0.25">
      <c r="L81" s="89"/>
      <c r="M81" s="89"/>
      <c r="N81" s="89"/>
      <c r="O81" s="89"/>
      <c r="P81" s="89"/>
      <c r="Q81" s="89"/>
      <c r="R81" s="89"/>
      <c r="S81" s="89"/>
      <c r="T81" s="89"/>
      <c r="U81" s="89"/>
      <c r="V81" s="89"/>
      <c r="W81" s="88"/>
      <c r="X81" s="89"/>
      <c r="Y81" s="89"/>
      <c r="Z81" s="89"/>
      <c r="AA81" s="89"/>
      <c r="AB81" s="89"/>
      <c r="AC81" s="89"/>
      <c r="AD81" s="89"/>
      <c r="AE81" s="89"/>
      <c r="AF81" s="89"/>
      <c r="AG81" s="89"/>
      <c r="AH81" s="89"/>
    </row>
    <row r="82" spans="12:34" s="85" customFormat="1" x14ac:dyDescent="0.25">
      <c r="L82" s="89"/>
      <c r="M82" s="89"/>
      <c r="N82" s="89"/>
      <c r="O82" s="89"/>
      <c r="P82" s="89"/>
      <c r="Q82" s="89"/>
      <c r="R82" s="89"/>
      <c r="S82" s="89"/>
      <c r="T82" s="89"/>
      <c r="U82" s="89"/>
      <c r="V82" s="89"/>
      <c r="W82" s="88"/>
      <c r="X82" s="89"/>
      <c r="Y82" s="89"/>
      <c r="Z82" s="89"/>
      <c r="AA82" s="89"/>
      <c r="AB82" s="89"/>
      <c r="AC82" s="89"/>
      <c r="AD82" s="89"/>
      <c r="AE82" s="89"/>
      <c r="AF82" s="89"/>
      <c r="AG82" s="89"/>
      <c r="AH82" s="89"/>
    </row>
    <row r="83" spans="12:34" s="85" customFormat="1" x14ac:dyDescent="0.25">
      <c r="L83" s="89"/>
      <c r="M83" s="89"/>
      <c r="N83" s="89"/>
      <c r="O83" s="89"/>
      <c r="P83" s="89"/>
      <c r="Q83" s="89"/>
      <c r="R83" s="89"/>
      <c r="S83" s="89"/>
      <c r="T83" s="89"/>
      <c r="U83" s="89"/>
      <c r="V83" s="89"/>
      <c r="W83" s="88"/>
      <c r="X83" s="89"/>
      <c r="Y83" s="89"/>
      <c r="Z83" s="89"/>
      <c r="AA83" s="89"/>
      <c r="AB83" s="89"/>
      <c r="AC83" s="89"/>
      <c r="AD83" s="89"/>
      <c r="AE83" s="89"/>
      <c r="AF83" s="89"/>
      <c r="AG83" s="89"/>
      <c r="AH83" s="89"/>
    </row>
    <row r="84" spans="12:34" s="85" customFormat="1" x14ac:dyDescent="0.25">
      <c r="L84" s="89"/>
      <c r="M84" s="89"/>
      <c r="N84" s="89"/>
      <c r="O84" s="89"/>
      <c r="P84" s="89"/>
      <c r="Q84" s="89"/>
      <c r="R84" s="89"/>
      <c r="S84" s="89"/>
      <c r="T84" s="89"/>
      <c r="U84" s="89"/>
      <c r="V84" s="89"/>
      <c r="W84" s="88"/>
      <c r="X84" s="89"/>
      <c r="Y84" s="89"/>
      <c r="Z84" s="89"/>
      <c r="AA84" s="89"/>
      <c r="AB84" s="89"/>
      <c r="AC84" s="89"/>
      <c r="AD84" s="89"/>
      <c r="AE84" s="89"/>
      <c r="AF84" s="89"/>
      <c r="AG84" s="89"/>
      <c r="AH84" s="89"/>
    </row>
    <row r="85" spans="12:34" s="85" customFormat="1" x14ac:dyDescent="0.25">
      <c r="L85" s="89"/>
      <c r="M85" s="89"/>
      <c r="N85" s="89"/>
      <c r="O85" s="89"/>
      <c r="P85" s="89"/>
      <c r="Q85" s="89"/>
      <c r="R85" s="89"/>
      <c r="S85" s="89"/>
      <c r="T85" s="89"/>
      <c r="U85" s="89"/>
      <c r="V85" s="89"/>
      <c r="W85" s="88"/>
      <c r="X85" s="89"/>
      <c r="Y85" s="89"/>
      <c r="Z85" s="89"/>
      <c r="AA85" s="89"/>
      <c r="AB85" s="89"/>
      <c r="AC85" s="89"/>
      <c r="AD85" s="89"/>
      <c r="AE85" s="89"/>
      <c r="AF85" s="89"/>
      <c r="AG85" s="89"/>
      <c r="AH85" s="89"/>
    </row>
    <row r="86" spans="12:34" s="85" customFormat="1" x14ac:dyDescent="0.25">
      <c r="L86" s="89"/>
      <c r="M86" s="89"/>
      <c r="N86" s="89"/>
      <c r="O86" s="89"/>
      <c r="P86" s="89"/>
      <c r="Q86" s="89"/>
      <c r="R86" s="89"/>
      <c r="S86" s="89"/>
      <c r="T86" s="89"/>
      <c r="U86" s="89"/>
      <c r="V86" s="89"/>
      <c r="W86" s="88"/>
      <c r="X86" s="89"/>
      <c r="Y86" s="89"/>
      <c r="Z86" s="89"/>
      <c r="AA86" s="89"/>
      <c r="AB86" s="89"/>
      <c r="AC86" s="89"/>
      <c r="AD86" s="89"/>
      <c r="AE86" s="89"/>
      <c r="AF86" s="89"/>
      <c r="AG86" s="89"/>
      <c r="AH86" s="89"/>
    </row>
    <row r="87" spans="12:34" s="85" customFormat="1" x14ac:dyDescent="0.25">
      <c r="L87" s="89"/>
      <c r="M87" s="89"/>
      <c r="N87" s="89"/>
      <c r="O87" s="89"/>
      <c r="P87" s="89"/>
      <c r="Q87" s="89"/>
      <c r="R87" s="89"/>
      <c r="S87" s="89"/>
      <c r="T87" s="89"/>
      <c r="U87" s="89"/>
      <c r="V87" s="89"/>
      <c r="W87" s="88"/>
      <c r="X87" s="89"/>
      <c r="Y87" s="89"/>
      <c r="Z87" s="89"/>
      <c r="AA87" s="89"/>
      <c r="AB87" s="89"/>
      <c r="AC87" s="89"/>
      <c r="AD87" s="89"/>
      <c r="AE87" s="89"/>
      <c r="AF87" s="89"/>
      <c r="AG87" s="89"/>
      <c r="AH87" s="89"/>
    </row>
    <row r="88" spans="12:34" s="85" customFormat="1" x14ac:dyDescent="0.25">
      <c r="L88" s="89"/>
      <c r="M88" s="89"/>
      <c r="N88" s="89"/>
      <c r="O88" s="89"/>
      <c r="P88" s="89"/>
      <c r="Q88" s="89"/>
      <c r="R88" s="89"/>
      <c r="S88" s="89"/>
      <c r="T88" s="89"/>
      <c r="U88" s="89"/>
      <c r="V88" s="89"/>
      <c r="W88" s="88"/>
      <c r="X88" s="89"/>
      <c r="Y88" s="89"/>
      <c r="Z88" s="89"/>
      <c r="AA88" s="89"/>
      <c r="AB88" s="89"/>
      <c r="AC88" s="89"/>
      <c r="AD88" s="89"/>
      <c r="AE88" s="89"/>
      <c r="AF88" s="89"/>
      <c r="AG88" s="89"/>
      <c r="AH88" s="89"/>
    </row>
    <row r="89" spans="12:34" s="85" customFormat="1" x14ac:dyDescent="0.25">
      <c r="L89" s="89"/>
      <c r="M89" s="89"/>
      <c r="N89" s="89"/>
      <c r="O89" s="89"/>
      <c r="P89" s="89"/>
      <c r="Q89" s="89"/>
      <c r="R89" s="89"/>
      <c r="S89" s="89"/>
      <c r="T89" s="89"/>
      <c r="U89" s="89"/>
      <c r="V89" s="89"/>
      <c r="W89" s="88"/>
      <c r="X89" s="89"/>
      <c r="Y89" s="89"/>
      <c r="Z89" s="89"/>
      <c r="AA89" s="89"/>
      <c r="AB89" s="89"/>
      <c r="AC89" s="89"/>
      <c r="AD89" s="89"/>
      <c r="AE89" s="89"/>
      <c r="AF89" s="89"/>
      <c r="AG89" s="89"/>
      <c r="AH89" s="89"/>
    </row>
    <row r="90" spans="12:34" s="85" customFormat="1" x14ac:dyDescent="0.25">
      <c r="L90" s="89"/>
      <c r="M90" s="89"/>
      <c r="N90" s="89"/>
      <c r="O90" s="89"/>
      <c r="P90" s="89"/>
      <c r="Q90" s="89"/>
      <c r="R90" s="89"/>
      <c r="S90" s="89"/>
      <c r="T90" s="89"/>
      <c r="U90" s="89"/>
      <c r="V90" s="89"/>
      <c r="W90" s="88"/>
      <c r="X90" s="89"/>
      <c r="Y90" s="89"/>
      <c r="Z90" s="89"/>
      <c r="AA90" s="89"/>
      <c r="AB90" s="89"/>
      <c r="AC90" s="89"/>
      <c r="AD90" s="89"/>
      <c r="AE90" s="89"/>
      <c r="AF90" s="89"/>
      <c r="AG90" s="89"/>
      <c r="AH90" s="89"/>
    </row>
    <row r="91" spans="12:34" s="85" customFormat="1" x14ac:dyDescent="0.25">
      <c r="L91" s="89"/>
      <c r="M91" s="89"/>
      <c r="N91" s="89"/>
      <c r="O91" s="89"/>
      <c r="P91" s="89"/>
      <c r="Q91" s="89"/>
      <c r="R91" s="89"/>
      <c r="S91" s="89"/>
      <c r="T91" s="89"/>
      <c r="U91" s="89"/>
      <c r="V91" s="89"/>
      <c r="W91" s="88"/>
      <c r="X91" s="89"/>
      <c r="Y91" s="89"/>
      <c r="Z91" s="89"/>
      <c r="AA91" s="89"/>
      <c r="AB91" s="89"/>
      <c r="AC91" s="89"/>
      <c r="AD91" s="89"/>
      <c r="AE91" s="89"/>
      <c r="AF91" s="89"/>
      <c r="AG91" s="89"/>
      <c r="AH91" s="89"/>
    </row>
    <row r="92" spans="12:34" s="85" customFormat="1" x14ac:dyDescent="0.25">
      <c r="L92" s="89"/>
      <c r="M92" s="89"/>
      <c r="N92" s="89"/>
      <c r="O92" s="89"/>
      <c r="P92" s="89"/>
      <c r="Q92" s="89"/>
      <c r="R92" s="89"/>
      <c r="S92" s="89"/>
      <c r="T92" s="89"/>
      <c r="U92" s="89"/>
      <c r="V92" s="89"/>
      <c r="W92" s="88"/>
      <c r="X92" s="89"/>
      <c r="Y92" s="89"/>
      <c r="Z92" s="89"/>
      <c r="AA92" s="89"/>
      <c r="AB92" s="89"/>
      <c r="AC92" s="89"/>
      <c r="AD92" s="89"/>
      <c r="AE92" s="89"/>
      <c r="AF92" s="89"/>
      <c r="AG92" s="89"/>
      <c r="AH92" s="89"/>
    </row>
    <row r="93" spans="12:34" s="85" customFormat="1" x14ac:dyDescent="0.25">
      <c r="L93" s="89"/>
      <c r="M93" s="89"/>
      <c r="N93" s="89"/>
      <c r="O93" s="89"/>
      <c r="P93" s="89"/>
      <c r="Q93" s="89"/>
      <c r="R93" s="89"/>
      <c r="S93" s="89"/>
      <c r="T93" s="89"/>
      <c r="U93" s="89"/>
      <c r="V93" s="89"/>
      <c r="W93" s="88"/>
      <c r="X93" s="89"/>
      <c r="Y93" s="89"/>
      <c r="Z93" s="89"/>
      <c r="AA93" s="89"/>
      <c r="AB93" s="89"/>
      <c r="AC93" s="89"/>
      <c r="AD93" s="89"/>
      <c r="AE93" s="89"/>
      <c r="AF93" s="89"/>
      <c r="AG93" s="89"/>
      <c r="AH93" s="89"/>
    </row>
    <row r="94" spans="12:34" s="85" customFormat="1" x14ac:dyDescent="0.25">
      <c r="L94" s="89"/>
      <c r="M94" s="89"/>
      <c r="N94" s="89"/>
      <c r="O94" s="89"/>
      <c r="P94" s="89"/>
      <c r="Q94" s="89"/>
      <c r="R94" s="89"/>
      <c r="S94" s="89"/>
      <c r="T94" s="89"/>
      <c r="U94" s="89"/>
      <c r="V94" s="89"/>
      <c r="W94" s="88"/>
      <c r="X94" s="89"/>
      <c r="Y94" s="89"/>
      <c r="Z94" s="89"/>
      <c r="AA94" s="89"/>
      <c r="AB94" s="89"/>
      <c r="AC94" s="89"/>
      <c r="AD94" s="89"/>
      <c r="AE94" s="89"/>
      <c r="AF94" s="89"/>
      <c r="AG94" s="89"/>
      <c r="AH94" s="89"/>
    </row>
    <row r="95" spans="12:34" s="85" customFormat="1" x14ac:dyDescent="0.25">
      <c r="L95" s="89"/>
      <c r="M95" s="89"/>
      <c r="N95" s="89"/>
      <c r="O95" s="89"/>
      <c r="P95" s="89"/>
      <c r="Q95" s="89"/>
      <c r="R95" s="89"/>
      <c r="S95" s="89"/>
      <c r="T95" s="89"/>
      <c r="U95" s="89"/>
      <c r="V95" s="89"/>
      <c r="W95" s="88"/>
      <c r="X95" s="89"/>
      <c r="Y95" s="89"/>
      <c r="Z95" s="89"/>
      <c r="AA95" s="89"/>
      <c r="AB95" s="89"/>
      <c r="AC95" s="89"/>
      <c r="AD95" s="89"/>
      <c r="AE95" s="89"/>
      <c r="AF95" s="89"/>
      <c r="AG95" s="89"/>
      <c r="AH95" s="89"/>
    </row>
    <row r="96" spans="12:34" s="85" customFormat="1" x14ac:dyDescent="0.25">
      <c r="L96" s="89"/>
      <c r="M96" s="89"/>
      <c r="N96" s="89"/>
      <c r="O96" s="89"/>
      <c r="P96" s="89"/>
      <c r="Q96" s="89"/>
      <c r="R96" s="89"/>
      <c r="S96" s="89"/>
      <c r="T96" s="89"/>
      <c r="U96" s="89"/>
      <c r="V96" s="89"/>
      <c r="W96" s="88"/>
      <c r="X96" s="89"/>
      <c r="Y96" s="89"/>
      <c r="Z96" s="89"/>
      <c r="AA96" s="89"/>
      <c r="AB96" s="89"/>
      <c r="AC96" s="89"/>
      <c r="AD96" s="89"/>
      <c r="AE96" s="89"/>
      <c r="AF96" s="89"/>
      <c r="AG96" s="89"/>
      <c r="AH96" s="89"/>
    </row>
    <row r="97" spans="12:34" s="85" customFormat="1" x14ac:dyDescent="0.25">
      <c r="L97" s="89"/>
      <c r="M97" s="89"/>
      <c r="N97" s="89"/>
      <c r="O97" s="89"/>
      <c r="P97" s="89"/>
      <c r="Q97" s="89"/>
      <c r="R97" s="89"/>
      <c r="S97" s="89"/>
      <c r="T97" s="89"/>
      <c r="U97" s="89"/>
      <c r="V97" s="89"/>
      <c r="W97" s="88"/>
      <c r="X97" s="89"/>
      <c r="Y97" s="89"/>
      <c r="Z97" s="89"/>
      <c r="AA97" s="89"/>
      <c r="AB97" s="89"/>
      <c r="AC97" s="89"/>
      <c r="AD97" s="89"/>
      <c r="AE97" s="89"/>
      <c r="AF97" s="89"/>
      <c r="AG97" s="89"/>
      <c r="AH97" s="89"/>
    </row>
    <row r="98" spans="12:34" s="85" customFormat="1" x14ac:dyDescent="0.25">
      <c r="L98" s="89"/>
      <c r="M98" s="89"/>
      <c r="N98" s="89"/>
      <c r="O98" s="89"/>
      <c r="P98" s="89"/>
      <c r="Q98" s="89"/>
      <c r="R98" s="89"/>
      <c r="S98" s="89"/>
      <c r="T98" s="89"/>
      <c r="U98" s="89"/>
      <c r="V98" s="89"/>
      <c r="W98" s="88"/>
      <c r="X98" s="89"/>
      <c r="Y98" s="89"/>
      <c r="Z98" s="89"/>
      <c r="AA98" s="89"/>
      <c r="AB98" s="89"/>
      <c r="AC98" s="89"/>
      <c r="AD98" s="89"/>
      <c r="AE98" s="89"/>
      <c r="AF98" s="89"/>
      <c r="AG98" s="89"/>
      <c r="AH98" s="89"/>
    </row>
    <row r="99" spans="12:34" s="85" customFormat="1" x14ac:dyDescent="0.25">
      <c r="L99" s="89"/>
      <c r="M99" s="89"/>
      <c r="N99" s="89"/>
      <c r="O99" s="89"/>
      <c r="P99" s="89"/>
      <c r="Q99" s="89"/>
      <c r="R99" s="89"/>
      <c r="S99" s="89"/>
      <c r="T99" s="89"/>
      <c r="U99" s="89"/>
      <c r="V99" s="89"/>
      <c r="W99" s="88"/>
      <c r="X99" s="89"/>
      <c r="Y99" s="89"/>
      <c r="Z99" s="89"/>
      <c r="AA99" s="89"/>
      <c r="AB99" s="89"/>
      <c r="AC99" s="89"/>
      <c r="AD99" s="89"/>
      <c r="AE99" s="89"/>
      <c r="AF99" s="89"/>
      <c r="AG99" s="89"/>
      <c r="AH99" s="89"/>
    </row>
    <row r="100" spans="12:34" s="85" customFormat="1" x14ac:dyDescent="0.25">
      <c r="L100" s="89"/>
      <c r="M100" s="89"/>
      <c r="N100" s="89"/>
      <c r="O100" s="89"/>
      <c r="P100" s="89"/>
      <c r="Q100" s="89"/>
      <c r="R100" s="89"/>
      <c r="S100" s="89"/>
      <c r="T100" s="89"/>
      <c r="U100" s="89"/>
      <c r="V100" s="89"/>
      <c r="W100" s="88"/>
      <c r="X100" s="89"/>
      <c r="Y100" s="89"/>
      <c r="Z100" s="89"/>
      <c r="AA100" s="89"/>
      <c r="AB100" s="89"/>
      <c r="AC100" s="89"/>
      <c r="AD100" s="89"/>
      <c r="AE100" s="89"/>
      <c r="AF100" s="89"/>
      <c r="AG100" s="89"/>
      <c r="AH100" s="89"/>
    </row>
    <row r="101" spans="12:34" s="85" customFormat="1" x14ac:dyDescent="0.25">
      <c r="L101" s="89"/>
      <c r="M101" s="89"/>
      <c r="N101" s="89"/>
      <c r="O101" s="89"/>
      <c r="P101" s="89"/>
      <c r="Q101" s="89"/>
      <c r="R101" s="89"/>
      <c r="S101" s="89"/>
      <c r="T101" s="89"/>
      <c r="U101" s="89"/>
      <c r="V101" s="89"/>
      <c r="W101" s="88"/>
      <c r="X101" s="89"/>
      <c r="Y101" s="89"/>
      <c r="Z101" s="89"/>
      <c r="AA101" s="89"/>
      <c r="AB101" s="89"/>
      <c r="AC101" s="89"/>
      <c r="AD101" s="89"/>
      <c r="AE101" s="89"/>
      <c r="AF101" s="89"/>
      <c r="AG101" s="89"/>
      <c r="AH101" s="89"/>
    </row>
    <row r="102" spans="12:34" s="85" customFormat="1" x14ac:dyDescent="0.25">
      <c r="L102" s="89"/>
      <c r="M102" s="89"/>
      <c r="N102" s="89"/>
      <c r="O102" s="89"/>
      <c r="P102" s="89"/>
      <c r="Q102" s="89"/>
      <c r="R102" s="89"/>
      <c r="S102" s="89"/>
      <c r="T102" s="89"/>
      <c r="U102" s="89"/>
      <c r="V102" s="89"/>
      <c r="W102" s="88"/>
      <c r="X102" s="89"/>
      <c r="Y102" s="89"/>
      <c r="Z102" s="89"/>
      <c r="AA102" s="89"/>
      <c r="AB102" s="89"/>
      <c r="AC102" s="89"/>
      <c r="AD102" s="89"/>
      <c r="AE102" s="89"/>
      <c r="AF102" s="89"/>
      <c r="AG102" s="89"/>
      <c r="AH102" s="89"/>
    </row>
    <row r="103" spans="12:34" s="85" customFormat="1" x14ac:dyDescent="0.25">
      <c r="L103" s="89"/>
      <c r="M103" s="89"/>
      <c r="N103" s="89"/>
      <c r="O103" s="89"/>
      <c r="P103" s="89"/>
      <c r="Q103" s="89"/>
      <c r="R103" s="89"/>
      <c r="S103" s="89"/>
      <c r="T103" s="89"/>
      <c r="U103" s="89"/>
      <c r="V103" s="89"/>
      <c r="W103" s="88"/>
      <c r="X103" s="89"/>
      <c r="Y103" s="89"/>
      <c r="Z103" s="89"/>
      <c r="AA103" s="89"/>
      <c r="AB103" s="89"/>
      <c r="AC103" s="89"/>
      <c r="AD103" s="89"/>
      <c r="AE103" s="89"/>
      <c r="AF103" s="89"/>
      <c r="AG103" s="89"/>
      <c r="AH103" s="89"/>
    </row>
    <row r="104" spans="12:34" s="85" customFormat="1" x14ac:dyDescent="0.25">
      <c r="L104" s="89"/>
      <c r="M104" s="89"/>
      <c r="N104" s="89"/>
      <c r="O104" s="89"/>
      <c r="P104" s="89"/>
      <c r="Q104" s="89"/>
      <c r="R104" s="89"/>
      <c r="S104" s="89"/>
      <c r="T104" s="89"/>
      <c r="U104" s="89"/>
      <c r="V104" s="89"/>
      <c r="W104" s="88"/>
      <c r="X104" s="89"/>
      <c r="Y104" s="89"/>
      <c r="Z104" s="89"/>
      <c r="AA104" s="89"/>
      <c r="AB104" s="89"/>
      <c r="AC104" s="89"/>
      <c r="AD104" s="89"/>
      <c r="AE104" s="89"/>
      <c r="AF104" s="89"/>
      <c r="AG104" s="89"/>
      <c r="AH104" s="89"/>
    </row>
    <row r="105" spans="12:34" s="85" customFormat="1" x14ac:dyDescent="0.25">
      <c r="L105" s="89"/>
      <c r="M105" s="89"/>
      <c r="N105" s="89"/>
      <c r="O105" s="89"/>
      <c r="P105" s="89"/>
      <c r="Q105" s="89"/>
      <c r="R105" s="89"/>
      <c r="S105" s="89"/>
      <c r="T105" s="89"/>
      <c r="U105" s="89"/>
      <c r="V105" s="89"/>
      <c r="W105" s="88"/>
      <c r="X105" s="89"/>
      <c r="Y105" s="89"/>
      <c r="Z105" s="89"/>
      <c r="AA105" s="89"/>
      <c r="AB105" s="89"/>
      <c r="AC105" s="89"/>
      <c r="AD105" s="89"/>
      <c r="AE105" s="89"/>
      <c r="AF105" s="89"/>
      <c r="AG105" s="89"/>
      <c r="AH105" s="89"/>
    </row>
    <row r="106" spans="12:34" s="85" customFormat="1" x14ac:dyDescent="0.25">
      <c r="L106" s="89"/>
      <c r="M106" s="89"/>
      <c r="N106" s="89"/>
      <c r="O106" s="89"/>
      <c r="P106" s="89"/>
      <c r="Q106" s="89"/>
      <c r="R106" s="89"/>
      <c r="S106" s="89"/>
      <c r="T106" s="89"/>
      <c r="U106" s="89"/>
      <c r="V106" s="89"/>
      <c r="W106" s="88"/>
      <c r="X106" s="89"/>
      <c r="Y106" s="89"/>
      <c r="Z106" s="89"/>
      <c r="AA106" s="89"/>
      <c r="AB106" s="89"/>
      <c r="AC106" s="89"/>
      <c r="AD106" s="89"/>
      <c r="AE106" s="89"/>
      <c r="AF106" s="89"/>
      <c r="AG106" s="89"/>
      <c r="AH106" s="89"/>
    </row>
    <row r="107" spans="12:34" s="85" customFormat="1" x14ac:dyDescent="0.25">
      <c r="L107" s="89"/>
      <c r="M107" s="89"/>
      <c r="N107" s="89"/>
      <c r="O107" s="89"/>
      <c r="P107" s="89"/>
      <c r="Q107" s="89"/>
      <c r="R107" s="89"/>
      <c r="S107" s="89"/>
      <c r="T107" s="89"/>
      <c r="U107" s="89"/>
      <c r="V107" s="89"/>
      <c r="W107" s="88"/>
      <c r="X107" s="89"/>
      <c r="Y107" s="89"/>
      <c r="Z107" s="89"/>
      <c r="AA107" s="89"/>
      <c r="AB107" s="89"/>
      <c r="AC107" s="89"/>
      <c r="AD107" s="89"/>
      <c r="AE107" s="89"/>
      <c r="AF107" s="89"/>
      <c r="AG107" s="89"/>
      <c r="AH107" s="89"/>
    </row>
    <row r="108" spans="12:34" s="85" customFormat="1" x14ac:dyDescent="0.25">
      <c r="L108" s="89"/>
      <c r="M108" s="89"/>
      <c r="N108" s="89"/>
      <c r="O108" s="89"/>
      <c r="P108" s="89"/>
      <c r="Q108" s="89"/>
      <c r="R108" s="89"/>
      <c r="S108" s="89"/>
      <c r="T108" s="89"/>
      <c r="U108" s="89"/>
      <c r="V108" s="89"/>
      <c r="W108" s="88"/>
      <c r="X108" s="89"/>
      <c r="Y108" s="89"/>
      <c r="Z108" s="89"/>
      <c r="AA108" s="89"/>
      <c r="AB108" s="89"/>
      <c r="AC108" s="89"/>
      <c r="AD108" s="89"/>
      <c r="AE108" s="89"/>
      <c r="AF108" s="89"/>
      <c r="AG108" s="89"/>
      <c r="AH108" s="89"/>
    </row>
    <row r="109" spans="12:34" s="85" customFormat="1" x14ac:dyDescent="0.25">
      <c r="L109" s="89"/>
      <c r="M109" s="89"/>
      <c r="N109" s="89"/>
      <c r="O109" s="89"/>
      <c r="P109" s="89"/>
      <c r="Q109" s="89"/>
      <c r="R109" s="89"/>
      <c r="S109" s="89"/>
      <c r="T109" s="89"/>
      <c r="U109" s="89"/>
      <c r="V109" s="89"/>
      <c r="W109" s="88"/>
      <c r="X109" s="89"/>
      <c r="Y109" s="89"/>
      <c r="Z109" s="89"/>
      <c r="AA109" s="89"/>
      <c r="AB109" s="89"/>
      <c r="AC109" s="89"/>
      <c r="AD109" s="89"/>
      <c r="AE109" s="89"/>
      <c r="AF109" s="89"/>
      <c r="AG109" s="89"/>
      <c r="AH109" s="89"/>
    </row>
    <row r="110" spans="12:34" s="85" customFormat="1" x14ac:dyDescent="0.25">
      <c r="L110" s="89"/>
      <c r="M110" s="89"/>
      <c r="N110" s="89"/>
      <c r="O110" s="89"/>
      <c r="P110" s="89"/>
      <c r="Q110" s="89"/>
      <c r="R110" s="89"/>
      <c r="S110" s="89"/>
      <c r="T110" s="89"/>
      <c r="U110" s="89"/>
      <c r="V110" s="89"/>
      <c r="W110" s="88"/>
      <c r="X110" s="89"/>
      <c r="Y110" s="89"/>
      <c r="Z110" s="89"/>
      <c r="AA110" s="89"/>
      <c r="AB110" s="89"/>
      <c r="AC110" s="89"/>
      <c r="AD110" s="89"/>
      <c r="AE110" s="89"/>
      <c r="AF110" s="89"/>
      <c r="AG110" s="89"/>
      <c r="AH110" s="89"/>
    </row>
    <row r="111" spans="12:34" s="85" customFormat="1" x14ac:dyDescent="0.25">
      <c r="L111" s="89"/>
      <c r="M111" s="89"/>
      <c r="N111" s="89"/>
      <c r="O111" s="89"/>
      <c r="P111" s="89"/>
      <c r="Q111" s="89"/>
      <c r="R111" s="89"/>
      <c r="S111" s="89"/>
      <c r="T111" s="89"/>
      <c r="U111" s="89"/>
      <c r="V111" s="89"/>
      <c r="W111" s="88"/>
      <c r="X111" s="89"/>
      <c r="Y111" s="89"/>
      <c r="Z111" s="89"/>
      <c r="AA111" s="89"/>
      <c r="AB111" s="89"/>
      <c r="AC111" s="89"/>
      <c r="AD111" s="89"/>
      <c r="AE111" s="89"/>
      <c r="AF111" s="89"/>
      <c r="AG111" s="89"/>
      <c r="AH111" s="89"/>
    </row>
    <row r="112" spans="12:34" s="85" customFormat="1" x14ac:dyDescent="0.25">
      <c r="L112" s="89"/>
      <c r="M112" s="89"/>
      <c r="N112" s="89"/>
      <c r="O112" s="89"/>
      <c r="P112" s="89"/>
      <c r="Q112" s="89"/>
      <c r="R112" s="89"/>
      <c r="S112" s="89"/>
      <c r="T112" s="89"/>
      <c r="U112" s="89"/>
      <c r="V112" s="89"/>
      <c r="W112" s="88"/>
      <c r="X112" s="89"/>
      <c r="Y112" s="89"/>
      <c r="Z112" s="89"/>
      <c r="AA112" s="89"/>
      <c r="AB112" s="89"/>
      <c r="AC112" s="89"/>
      <c r="AD112" s="89"/>
      <c r="AE112" s="89"/>
      <c r="AF112" s="89"/>
      <c r="AG112" s="89"/>
      <c r="AH112" s="89"/>
    </row>
    <row r="113" spans="12:34" s="85" customFormat="1" x14ac:dyDescent="0.25">
      <c r="L113" s="89"/>
      <c r="M113" s="89"/>
      <c r="N113" s="89"/>
      <c r="O113" s="89"/>
      <c r="P113" s="89"/>
      <c r="Q113" s="89"/>
      <c r="R113" s="89"/>
      <c r="S113" s="89"/>
      <c r="T113" s="89"/>
      <c r="U113" s="89"/>
      <c r="V113" s="89"/>
      <c r="W113" s="88"/>
      <c r="X113" s="89"/>
      <c r="Y113" s="89"/>
      <c r="Z113" s="89"/>
      <c r="AA113" s="89"/>
      <c r="AB113" s="89"/>
      <c r="AC113" s="89"/>
      <c r="AD113" s="89"/>
      <c r="AE113" s="89"/>
      <c r="AF113" s="89"/>
      <c r="AG113" s="89"/>
      <c r="AH113" s="89"/>
    </row>
    <row r="114" spans="12:34" s="85" customFormat="1" x14ac:dyDescent="0.25">
      <c r="L114" s="89"/>
      <c r="M114" s="89"/>
      <c r="N114" s="89"/>
      <c r="O114" s="89"/>
      <c r="P114" s="89"/>
      <c r="Q114" s="89"/>
      <c r="R114" s="89"/>
      <c r="S114" s="89"/>
      <c r="T114" s="89"/>
      <c r="U114" s="89"/>
      <c r="V114" s="89"/>
      <c r="W114" s="88"/>
      <c r="X114" s="89"/>
      <c r="Y114" s="89"/>
      <c r="Z114" s="89"/>
      <c r="AA114" s="89"/>
      <c r="AB114" s="89"/>
      <c r="AC114" s="89"/>
      <c r="AD114" s="89"/>
      <c r="AE114" s="89"/>
      <c r="AF114" s="89"/>
      <c r="AG114" s="89"/>
      <c r="AH114" s="89"/>
    </row>
    <row r="115" spans="12:34" s="85" customFormat="1" x14ac:dyDescent="0.25">
      <c r="L115" s="89"/>
      <c r="M115" s="89"/>
      <c r="N115" s="89"/>
      <c r="O115" s="89"/>
      <c r="P115" s="89"/>
      <c r="Q115" s="89"/>
      <c r="R115" s="89"/>
      <c r="S115" s="89"/>
      <c r="T115" s="89"/>
      <c r="U115" s="89"/>
      <c r="V115" s="89"/>
      <c r="W115" s="88"/>
      <c r="X115" s="89"/>
      <c r="Y115" s="89"/>
      <c r="Z115" s="89"/>
      <c r="AA115" s="89"/>
      <c r="AB115" s="89"/>
      <c r="AC115" s="89"/>
      <c r="AD115" s="89"/>
      <c r="AE115" s="89"/>
      <c r="AF115" s="89"/>
      <c r="AG115" s="89"/>
      <c r="AH115" s="89"/>
    </row>
    <row r="116" spans="12:34" s="85" customFormat="1" x14ac:dyDescent="0.25">
      <c r="L116" s="89"/>
      <c r="M116" s="89"/>
      <c r="N116" s="89"/>
      <c r="O116" s="89"/>
      <c r="P116" s="89"/>
      <c r="Q116" s="89"/>
      <c r="R116" s="89"/>
      <c r="S116" s="89"/>
      <c r="T116" s="89"/>
      <c r="U116" s="89"/>
      <c r="V116" s="89"/>
      <c r="W116" s="88"/>
      <c r="X116" s="89"/>
      <c r="Y116" s="89"/>
      <c r="Z116" s="89"/>
      <c r="AA116" s="89"/>
      <c r="AB116" s="89"/>
      <c r="AC116" s="89"/>
      <c r="AD116" s="89"/>
      <c r="AE116" s="89"/>
      <c r="AF116" s="89"/>
      <c r="AG116" s="89"/>
      <c r="AH116" s="89"/>
    </row>
    <row r="117" spans="12:34" s="85" customFormat="1" x14ac:dyDescent="0.25">
      <c r="L117" s="89"/>
      <c r="M117" s="89"/>
      <c r="N117" s="89"/>
      <c r="O117" s="89"/>
      <c r="P117" s="89"/>
      <c r="Q117" s="89"/>
      <c r="R117" s="89"/>
      <c r="S117" s="89"/>
      <c r="T117" s="89"/>
      <c r="U117" s="89"/>
      <c r="V117" s="89"/>
      <c r="W117" s="88"/>
      <c r="X117" s="89"/>
      <c r="Y117" s="89"/>
      <c r="Z117" s="89"/>
      <c r="AA117" s="89"/>
      <c r="AB117" s="89"/>
      <c r="AC117" s="89"/>
      <c r="AD117" s="89"/>
      <c r="AE117" s="89"/>
      <c r="AF117" s="89"/>
      <c r="AG117" s="89"/>
      <c r="AH117" s="89"/>
    </row>
    <row r="118" spans="12:34" s="85" customFormat="1" x14ac:dyDescent="0.25">
      <c r="L118" s="89"/>
      <c r="M118" s="89"/>
      <c r="N118" s="89"/>
      <c r="O118" s="89"/>
      <c r="P118" s="89"/>
      <c r="Q118" s="89"/>
      <c r="R118" s="89"/>
      <c r="S118" s="89"/>
      <c r="T118" s="89"/>
      <c r="U118" s="89"/>
      <c r="V118" s="89"/>
      <c r="W118" s="88"/>
      <c r="X118" s="89"/>
      <c r="Y118" s="89"/>
      <c r="Z118" s="89"/>
      <c r="AA118" s="89"/>
      <c r="AB118" s="89"/>
      <c r="AC118" s="89"/>
      <c r="AD118" s="89"/>
      <c r="AE118" s="89"/>
      <c r="AF118" s="89"/>
      <c r="AG118" s="89"/>
      <c r="AH118" s="89"/>
    </row>
    <row r="119" spans="12:34" s="85" customFormat="1" x14ac:dyDescent="0.25">
      <c r="L119" s="89"/>
      <c r="M119" s="89"/>
      <c r="N119" s="89"/>
      <c r="O119" s="89"/>
      <c r="P119" s="89"/>
      <c r="Q119" s="89"/>
      <c r="R119" s="89"/>
      <c r="S119" s="89"/>
      <c r="T119" s="89"/>
      <c r="U119" s="89"/>
      <c r="V119" s="89"/>
      <c r="W119" s="88"/>
      <c r="X119" s="89"/>
      <c r="Y119" s="89"/>
      <c r="Z119" s="89"/>
      <c r="AA119" s="89"/>
      <c r="AB119" s="89"/>
      <c r="AC119" s="89"/>
      <c r="AD119" s="89"/>
      <c r="AE119" s="89"/>
      <c r="AF119" s="89"/>
      <c r="AG119" s="89"/>
      <c r="AH119" s="89"/>
    </row>
    <row r="120" spans="12:34" s="85" customFormat="1" x14ac:dyDescent="0.25">
      <c r="L120" s="89"/>
      <c r="M120" s="89"/>
      <c r="N120" s="89"/>
      <c r="O120" s="89"/>
      <c r="P120" s="89"/>
      <c r="Q120" s="89"/>
      <c r="R120" s="89"/>
      <c r="S120" s="89"/>
      <c r="T120" s="89"/>
      <c r="U120" s="89"/>
      <c r="V120" s="89"/>
      <c r="W120" s="88"/>
      <c r="X120" s="89"/>
      <c r="Y120" s="89"/>
      <c r="Z120" s="89"/>
      <c r="AA120" s="89"/>
      <c r="AB120" s="89"/>
      <c r="AC120" s="89"/>
      <c r="AD120" s="89"/>
      <c r="AE120" s="89"/>
      <c r="AF120" s="89"/>
      <c r="AG120" s="89"/>
      <c r="AH120" s="89"/>
    </row>
    <row r="121" spans="12:34" s="85" customFormat="1" x14ac:dyDescent="0.25">
      <c r="L121" s="89"/>
      <c r="M121" s="89"/>
      <c r="N121" s="89"/>
      <c r="O121" s="89"/>
      <c r="P121" s="89"/>
      <c r="Q121" s="89"/>
      <c r="R121" s="89"/>
      <c r="S121" s="89"/>
      <c r="T121" s="89"/>
      <c r="U121" s="89"/>
      <c r="V121" s="89"/>
      <c r="W121" s="88"/>
      <c r="X121" s="89"/>
      <c r="Y121" s="89"/>
      <c r="Z121" s="89"/>
      <c r="AA121" s="89"/>
      <c r="AB121" s="89"/>
      <c r="AC121" s="89"/>
      <c r="AD121" s="89"/>
      <c r="AE121" s="89"/>
      <c r="AF121" s="89"/>
      <c r="AG121" s="89"/>
      <c r="AH121" s="89"/>
    </row>
    <row r="122" spans="12:34" s="85" customFormat="1" x14ac:dyDescent="0.25">
      <c r="L122" s="89"/>
      <c r="M122" s="89"/>
      <c r="N122" s="89"/>
      <c r="O122" s="89"/>
      <c r="P122" s="89"/>
      <c r="Q122" s="89"/>
      <c r="R122" s="89"/>
      <c r="S122" s="89"/>
      <c r="T122" s="89"/>
      <c r="U122" s="89"/>
      <c r="V122" s="89"/>
      <c r="W122" s="88"/>
      <c r="X122" s="89"/>
      <c r="Y122" s="89"/>
      <c r="Z122" s="89"/>
      <c r="AA122" s="89"/>
      <c r="AB122" s="89"/>
      <c r="AC122" s="89"/>
      <c r="AD122" s="89"/>
      <c r="AE122" s="89"/>
      <c r="AF122" s="89"/>
      <c r="AG122" s="89"/>
      <c r="AH122" s="89"/>
    </row>
    <row r="123" spans="12:34" s="85" customFormat="1" x14ac:dyDescent="0.25">
      <c r="L123" s="89"/>
      <c r="M123" s="89"/>
      <c r="N123" s="89"/>
      <c r="O123" s="89"/>
      <c r="P123" s="89"/>
      <c r="Q123" s="89"/>
      <c r="R123" s="89"/>
      <c r="S123" s="89"/>
      <c r="T123" s="89"/>
      <c r="U123" s="89"/>
      <c r="V123" s="89"/>
      <c r="W123" s="88"/>
      <c r="X123" s="89"/>
      <c r="Y123" s="89"/>
      <c r="Z123" s="89"/>
      <c r="AA123" s="89"/>
      <c r="AB123" s="89"/>
      <c r="AC123" s="89"/>
      <c r="AD123" s="89"/>
      <c r="AE123" s="89"/>
      <c r="AF123" s="89"/>
      <c r="AG123" s="89"/>
      <c r="AH123" s="89"/>
    </row>
    <row r="124" spans="12:34" s="85" customFormat="1" x14ac:dyDescent="0.25">
      <c r="L124" s="89"/>
      <c r="M124" s="89"/>
      <c r="N124" s="89"/>
      <c r="O124" s="89"/>
      <c r="P124" s="89"/>
      <c r="Q124" s="89"/>
      <c r="R124" s="89"/>
      <c r="S124" s="89"/>
      <c r="T124" s="89"/>
      <c r="U124" s="89"/>
      <c r="V124" s="89"/>
      <c r="W124" s="88"/>
      <c r="X124" s="89"/>
      <c r="Y124" s="89"/>
      <c r="Z124" s="89"/>
      <c r="AA124" s="89"/>
      <c r="AB124" s="89"/>
      <c r="AC124" s="89"/>
      <c r="AD124" s="89"/>
      <c r="AE124" s="89"/>
      <c r="AF124" s="89"/>
      <c r="AG124" s="89"/>
      <c r="AH124" s="89"/>
    </row>
    <row r="125" spans="12:34" s="85" customFormat="1" x14ac:dyDescent="0.25">
      <c r="L125" s="89"/>
      <c r="M125" s="89"/>
      <c r="N125" s="89"/>
      <c r="O125" s="89"/>
      <c r="P125" s="89"/>
      <c r="Q125" s="89"/>
      <c r="R125" s="89"/>
      <c r="S125" s="89"/>
      <c r="T125" s="89"/>
      <c r="U125" s="89"/>
      <c r="V125" s="89"/>
      <c r="W125" s="88"/>
      <c r="X125" s="89"/>
      <c r="Y125" s="89"/>
      <c r="Z125" s="89"/>
      <c r="AA125" s="89"/>
      <c r="AB125" s="89"/>
      <c r="AC125" s="89"/>
      <c r="AD125" s="89"/>
      <c r="AE125" s="89"/>
      <c r="AF125" s="89"/>
      <c r="AG125" s="89"/>
      <c r="AH125" s="89"/>
    </row>
    <row r="126" spans="12:34" s="85" customFormat="1" x14ac:dyDescent="0.25">
      <c r="L126" s="89"/>
      <c r="M126" s="89"/>
      <c r="N126" s="89"/>
      <c r="O126" s="89"/>
      <c r="P126" s="89"/>
      <c r="Q126" s="89"/>
      <c r="R126" s="89"/>
      <c r="S126" s="89"/>
      <c r="T126" s="89"/>
      <c r="U126" s="89"/>
      <c r="V126" s="89"/>
      <c r="W126" s="88"/>
      <c r="X126" s="89"/>
      <c r="Y126" s="89"/>
      <c r="Z126" s="89"/>
      <c r="AA126" s="89"/>
      <c r="AB126" s="89"/>
      <c r="AC126" s="89"/>
      <c r="AD126" s="89"/>
      <c r="AE126" s="89"/>
      <c r="AF126" s="89"/>
      <c r="AG126" s="89"/>
      <c r="AH126" s="89"/>
    </row>
    <row r="127" spans="12:34" s="85" customFormat="1" x14ac:dyDescent="0.25">
      <c r="L127" s="89"/>
      <c r="M127" s="89"/>
      <c r="N127" s="89"/>
      <c r="O127" s="89"/>
      <c r="P127" s="89"/>
      <c r="Q127" s="89"/>
      <c r="R127" s="89"/>
      <c r="S127" s="89"/>
      <c r="T127" s="89"/>
      <c r="U127" s="89"/>
      <c r="V127" s="89"/>
      <c r="W127" s="88"/>
      <c r="X127" s="89"/>
      <c r="Y127" s="89"/>
      <c r="Z127" s="89"/>
      <c r="AA127" s="89"/>
      <c r="AB127" s="89"/>
      <c r="AC127" s="89"/>
      <c r="AD127" s="89"/>
      <c r="AE127" s="89"/>
      <c r="AF127" s="89"/>
      <c r="AG127" s="89"/>
      <c r="AH127" s="89"/>
    </row>
    <row r="128" spans="12:34" s="85" customFormat="1" x14ac:dyDescent="0.25">
      <c r="L128" s="89"/>
      <c r="M128" s="89"/>
      <c r="N128" s="89"/>
      <c r="O128" s="89"/>
      <c r="P128" s="89"/>
      <c r="Q128" s="89"/>
      <c r="R128" s="89"/>
      <c r="S128" s="89"/>
      <c r="T128" s="89"/>
      <c r="U128" s="89"/>
      <c r="V128" s="89"/>
      <c r="W128" s="88"/>
      <c r="X128" s="89"/>
      <c r="Y128" s="89"/>
      <c r="Z128" s="89"/>
      <c r="AA128" s="89"/>
      <c r="AB128" s="89"/>
      <c r="AC128" s="89"/>
      <c r="AD128" s="89"/>
      <c r="AE128" s="89"/>
      <c r="AF128" s="89"/>
      <c r="AG128" s="89"/>
      <c r="AH128" s="89"/>
    </row>
    <row r="129" spans="12:34" s="85" customFormat="1" x14ac:dyDescent="0.25">
      <c r="L129" s="89"/>
      <c r="M129" s="89"/>
      <c r="N129" s="89"/>
      <c r="O129" s="89"/>
      <c r="P129" s="89"/>
      <c r="Q129" s="89"/>
      <c r="R129" s="89"/>
      <c r="S129" s="89"/>
      <c r="T129" s="89"/>
      <c r="U129" s="89"/>
      <c r="V129" s="89"/>
      <c r="W129" s="88"/>
      <c r="X129" s="89"/>
      <c r="Y129" s="89"/>
      <c r="Z129" s="89"/>
      <c r="AA129" s="89"/>
      <c r="AB129" s="89"/>
      <c r="AC129" s="89"/>
      <c r="AD129" s="89"/>
      <c r="AE129" s="89"/>
      <c r="AF129" s="89"/>
      <c r="AG129" s="89"/>
      <c r="AH129" s="89"/>
    </row>
    <row r="130" spans="12:34" s="85" customFormat="1" x14ac:dyDescent="0.25">
      <c r="L130" s="89"/>
      <c r="M130" s="89"/>
      <c r="N130" s="89"/>
      <c r="O130" s="89"/>
      <c r="P130" s="89"/>
      <c r="Q130" s="89"/>
      <c r="R130" s="89"/>
      <c r="S130" s="89"/>
      <c r="T130" s="89"/>
      <c r="U130" s="89"/>
      <c r="V130" s="89"/>
      <c r="W130" s="88"/>
      <c r="X130" s="89"/>
      <c r="Y130" s="89"/>
      <c r="Z130" s="89"/>
      <c r="AA130" s="89"/>
      <c r="AB130" s="89"/>
      <c r="AC130" s="89"/>
      <c r="AD130" s="89"/>
      <c r="AE130" s="89"/>
      <c r="AF130" s="89"/>
      <c r="AG130" s="89"/>
      <c r="AH130" s="89"/>
    </row>
    <row r="131" spans="12:34" s="85" customFormat="1" x14ac:dyDescent="0.25">
      <c r="L131" s="89"/>
      <c r="M131" s="89"/>
      <c r="N131" s="89"/>
      <c r="O131" s="89"/>
      <c r="P131" s="89"/>
      <c r="Q131" s="89"/>
      <c r="R131" s="89"/>
      <c r="S131" s="89"/>
      <c r="T131" s="89"/>
      <c r="U131" s="89"/>
      <c r="V131" s="89"/>
      <c r="W131" s="88"/>
      <c r="X131" s="89"/>
      <c r="Y131" s="89"/>
      <c r="Z131" s="89"/>
      <c r="AA131" s="89"/>
      <c r="AB131" s="89"/>
      <c r="AC131" s="89"/>
      <c r="AD131" s="89"/>
      <c r="AE131" s="89"/>
      <c r="AF131" s="89"/>
      <c r="AG131" s="89"/>
      <c r="AH131" s="89"/>
    </row>
  </sheetData>
  <sheetProtection algorithmName="SHA-512" hashValue="3haLnMBRW+KWh3DuuI2rBeVDcGPpcPdq81lyLRQrb/jPt/AMKoGhuBW/y3VjqS4rMcF0i+breZEN0iJXQzkXyg==" saltValue="w6cgjdP/al2Jy04jKnmp7Q==" spinCount="100000" sheet="1" objects="1" scenarios="1" selectLockedCells="1"/>
  <printOptions horizontalCentered="1" verticalCentered="1"/>
  <pageMargins left="0" right="0" top="0" bottom="0" header="0" footer="0"/>
  <pageSetup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131"/>
  <sheetViews>
    <sheetView zoomScale="50" zoomScaleNormal="50" zoomScaleSheetLayoutView="52" zoomScalePageLayoutView="28" workbookViewId="0">
      <selection activeCell="M1" sqref="M1:T1048576"/>
    </sheetView>
  </sheetViews>
  <sheetFormatPr defaultColWidth="21.140625" defaultRowHeight="15" x14ac:dyDescent="0.25"/>
  <cols>
    <col min="1" max="10" width="24.7109375" style="87" customWidth="1"/>
    <col min="11" max="11" width="26.42578125" style="87" customWidth="1"/>
    <col min="12" max="12" width="21.140625" style="89" customWidth="1"/>
    <col min="13" max="20" width="21.140625" style="89" hidden="1" customWidth="1"/>
    <col min="21" max="22" width="21.140625" style="89" customWidth="1"/>
    <col min="23" max="23" width="21.140625" style="88" customWidth="1"/>
    <col min="24" max="34" width="21.140625" style="89" customWidth="1"/>
    <col min="35" max="35" width="21.140625" style="85" customWidth="1"/>
    <col min="36" max="16384" width="21.140625" style="87"/>
  </cols>
  <sheetData>
    <row r="1" spans="1:52" s="86" customFormat="1" ht="24" customHeight="1" x14ac:dyDescent="0.25">
      <c r="A1" s="2"/>
      <c r="B1" s="2"/>
      <c r="C1" s="2"/>
      <c r="D1" s="2"/>
      <c r="E1" s="2"/>
      <c r="F1" s="2"/>
      <c r="G1" s="2"/>
      <c r="H1" s="2"/>
      <c r="I1" s="2"/>
      <c r="J1" s="2"/>
      <c r="K1" s="2"/>
      <c r="L1" s="89"/>
      <c r="M1" s="89" t="s">
        <v>298</v>
      </c>
      <c r="N1" s="89">
        <f>'Flow Rate Charts'!M35</f>
        <v>4</v>
      </c>
      <c r="O1" s="89"/>
      <c r="P1" s="89"/>
      <c r="Q1" s="89"/>
      <c r="R1" s="89"/>
      <c r="S1" s="89"/>
      <c r="T1" s="89"/>
      <c r="U1" s="89"/>
      <c r="V1" s="89"/>
      <c r="W1" s="88"/>
      <c r="X1" s="89"/>
      <c r="Y1" s="89"/>
      <c r="Z1" s="89"/>
      <c r="AA1" s="89"/>
      <c r="AB1" s="89"/>
      <c r="AC1" s="89"/>
      <c r="AD1" s="89"/>
      <c r="AE1" s="89"/>
      <c r="AF1" s="89"/>
      <c r="AG1" s="89"/>
      <c r="AH1" s="89"/>
      <c r="AI1" s="85"/>
      <c r="AJ1" s="85"/>
      <c r="AK1" s="85"/>
      <c r="AL1" s="85"/>
      <c r="AM1" s="85"/>
      <c r="AN1" s="85"/>
      <c r="AO1" s="85"/>
      <c r="AP1" s="85"/>
      <c r="AQ1" s="85"/>
      <c r="AR1" s="85"/>
      <c r="AS1" s="85"/>
      <c r="AT1" s="85"/>
      <c r="AU1" s="85"/>
      <c r="AV1" s="85"/>
      <c r="AW1" s="85"/>
      <c r="AX1" s="85"/>
      <c r="AY1" s="85"/>
      <c r="AZ1" s="85"/>
    </row>
    <row r="2" spans="1:52" s="86" customFormat="1" ht="24" customHeight="1" x14ac:dyDescent="0.25">
      <c r="A2" s="2"/>
      <c r="B2" s="2"/>
      <c r="C2" s="2"/>
      <c r="D2" s="2"/>
      <c r="E2" s="2"/>
      <c r="F2" s="2"/>
      <c r="G2" s="2"/>
      <c r="H2" s="2"/>
      <c r="I2" s="2"/>
      <c r="J2" s="2"/>
      <c r="K2" s="2"/>
      <c r="L2" s="89"/>
      <c r="M2" s="89" t="s">
        <v>290</v>
      </c>
      <c r="N2" s="89" t="str">
        <f>'Flow Rate Charts'!M37</f>
        <v xml:space="preserve"> </v>
      </c>
      <c r="O2" s="137" t="s">
        <v>283</v>
      </c>
      <c r="P2" s="318" t="str">
        <f>IF('2-Sizing'!G18=0, " -- ",IF('Flow Rate Charts'!M26=11, IF(N1=4, " ",CONCATENATE(N2,O2,))," "))</f>
        <v xml:space="preserve"> -- </v>
      </c>
      <c r="Q2" s="89" t="s">
        <v>295</v>
      </c>
      <c r="R2" s="318" t="str">
        <f>IF('Flow Rate Charts'!M26=11,CONCATENATE(P2, " x ",P5)," ")</f>
        <v xml:space="preserve"> </v>
      </c>
      <c r="S2" s="89" t="s">
        <v>316</v>
      </c>
      <c r="T2" s="318" t="str">
        <f>IF('Flow Rate Charts'!M26=11,CONCATENATE(R2, " ", S2)," ")</f>
        <v xml:space="preserve"> </v>
      </c>
      <c r="U2" s="89"/>
      <c r="V2" s="89"/>
      <c r="W2" s="88"/>
      <c r="X2" s="89"/>
      <c r="Y2" s="89"/>
      <c r="Z2" s="89"/>
      <c r="AA2" s="89"/>
      <c r="AB2" s="89"/>
      <c r="AC2" s="89"/>
      <c r="AD2" s="89"/>
      <c r="AE2" s="89"/>
      <c r="AF2" s="89"/>
      <c r="AG2" s="89"/>
      <c r="AH2" s="89"/>
      <c r="AI2" s="85"/>
      <c r="AJ2" s="85"/>
      <c r="AK2" s="85"/>
      <c r="AL2" s="85"/>
      <c r="AM2" s="85"/>
      <c r="AN2" s="85"/>
      <c r="AO2" s="85"/>
      <c r="AP2" s="85"/>
      <c r="AQ2" s="85"/>
      <c r="AR2" s="85"/>
      <c r="AS2" s="85"/>
      <c r="AT2" s="85"/>
      <c r="AU2" s="85"/>
      <c r="AV2" s="85"/>
      <c r="AW2" s="85"/>
      <c r="AX2" s="85"/>
      <c r="AY2" s="85"/>
      <c r="AZ2" s="85"/>
    </row>
    <row r="3" spans="1:52" s="86" customFormat="1" ht="24" customHeight="1" x14ac:dyDescent="0.25">
      <c r="A3" s="2"/>
      <c r="B3" s="2"/>
      <c r="C3" s="2"/>
      <c r="D3" s="2"/>
      <c r="E3" s="2"/>
      <c r="F3" s="2"/>
      <c r="G3" s="2"/>
      <c r="H3" s="2"/>
      <c r="I3" s="2"/>
      <c r="J3" s="2"/>
      <c r="K3" s="2"/>
      <c r="L3" s="89"/>
      <c r="M3" s="89" t="s">
        <v>289</v>
      </c>
      <c r="N3" s="89">
        <f>'2-Sizing'!$R$17</f>
        <v>1</v>
      </c>
      <c r="O3" s="137" t="s">
        <v>265</v>
      </c>
      <c r="P3" s="89" t="str">
        <f>IF('2-Sizing'!G18=0, " -- ", CONCATENATE(N3,O3,))</f>
        <v xml:space="preserve"> -- </v>
      </c>
      <c r="Q3" s="89"/>
      <c r="R3" s="89"/>
      <c r="S3" s="89"/>
      <c r="T3" s="89"/>
      <c r="U3" s="89"/>
      <c r="V3" s="89"/>
      <c r="W3" s="88"/>
      <c r="X3" s="89"/>
      <c r="Y3" s="89"/>
      <c r="Z3" s="89"/>
      <c r="AA3" s="89"/>
      <c r="AB3" s="89"/>
      <c r="AC3" s="89"/>
      <c r="AD3" s="89"/>
      <c r="AE3" s="89"/>
      <c r="AF3" s="89"/>
      <c r="AG3" s="89"/>
      <c r="AH3" s="89"/>
      <c r="AI3" s="85"/>
      <c r="AJ3" s="85"/>
      <c r="AK3" s="85"/>
      <c r="AL3" s="85"/>
      <c r="AM3" s="85"/>
      <c r="AN3" s="85"/>
      <c r="AO3" s="85"/>
      <c r="AP3" s="85"/>
      <c r="AQ3" s="85"/>
      <c r="AR3" s="85"/>
      <c r="AS3" s="85"/>
      <c r="AT3" s="85"/>
      <c r="AU3" s="85"/>
      <c r="AV3" s="85"/>
      <c r="AW3" s="85"/>
      <c r="AX3" s="85"/>
      <c r="AY3" s="85"/>
      <c r="AZ3" s="85"/>
    </row>
    <row r="4" spans="1:52" s="86" customFormat="1" ht="24" customHeight="1" x14ac:dyDescent="0.25">
      <c r="A4" s="2"/>
      <c r="B4" s="2"/>
      <c r="C4" s="2"/>
      <c r="D4" s="2"/>
      <c r="E4" s="2"/>
      <c r="F4" s="2"/>
      <c r="G4" s="2"/>
      <c r="H4" s="2"/>
      <c r="I4" s="2"/>
      <c r="J4" s="2"/>
      <c r="K4" s="2"/>
      <c r="L4" s="89"/>
      <c r="M4" s="89" t="s">
        <v>282</v>
      </c>
      <c r="N4" s="89">
        <v>29.5</v>
      </c>
      <c r="O4" s="137" t="s">
        <v>283</v>
      </c>
      <c r="P4" s="318" t="str">
        <f>IF('2-Sizing'!G18=0, " -- ", IF('Flow Rate Charts'!M26=11,CONCATENATE(N4,O4,)," "))</f>
        <v xml:space="preserve"> -- </v>
      </c>
      <c r="Q4" s="89"/>
      <c r="R4" s="89"/>
      <c r="S4" s="89"/>
      <c r="T4" s="89"/>
      <c r="U4" s="89"/>
      <c r="V4" s="89"/>
      <c r="W4" s="88"/>
      <c r="X4" s="89"/>
      <c r="Y4" s="89"/>
      <c r="Z4" s="89"/>
      <c r="AA4" s="89"/>
      <c r="AB4" s="89"/>
      <c r="AC4" s="89"/>
      <c r="AD4" s="89"/>
      <c r="AE4" s="89"/>
      <c r="AF4" s="89"/>
      <c r="AG4" s="89"/>
      <c r="AH4" s="89"/>
      <c r="AI4" s="85"/>
      <c r="AJ4" s="85"/>
      <c r="AK4" s="85"/>
      <c r="AL4" s="85"/>
      <c r="AM4" s="85"/>
      <c r="AN4" s="85"/>
      <c r="AO4" s="85"/>
      <c r="AP4" s="85"/>
      <c r="AQ4" s="85"/>
      <c r="AR4" s="85"/>
      <c r="AS4" s="85"/>
      <c r="AT4" s="85"/>
      <c r="AU4" s="85"/>
      <c r="AV4" s="85"/>
      <c r="AW4" s="85"/>
      <c r="AX4" s="85"/>
      <c r="AY4" s="85"/>
      <c r="AZ4" s="85"/>
    </row>
    <row r="5" spans="1:52" s="86" customFormat="1" ht="24" customHeight="1" x14ac:dyDescent="0.25">
      <c r="A5" s="2"/>
      <c r="B5" s="2"/>
      <c r="C5" s="2"/>
      <c r="D5" s="2"/>
      <c r="E5" s="2"/>
      <c r="F5" s="2"/>
      <c r="G5" s="2"/>
      <c r="H5" s="2"/>
      <c r="I5" s="2"/>
      <c r="J5" s="2"/>
      <c r="K5" s="2"/>
      <c r="L5" s="89"/>
      <c r="M5" s="136" t="s">
        <v>288</v>
      </c>
      <c r="N5" s="136">
        <f>'Flow Rate Charts'!M36</f>
        <v>48</v>
      </c>
      <c r="O5" s="137" t="str">
        <f>IF(N5=48, "-in Round", "-in")</f>
        <v>-in Round</v>
      </c>
      <c r="P5" s="318" t="str">
        <f>IF('2-Sizing'!G18=0, " -- ", IF('Flow Rate Charts'!M26=11,CONCATENATE(N5,O5,)," "))</f>
        <v xml:space="preserve"> -- </v>
      </c>
      <c r="Q5" s="89"/>
      <c r="R5" s="89"/>
      <c r="S5" s="89"/>
      <c r="T5" s="89"/>
      <c r="U5" s="89"/>
      <c r="V5" s="89"/>
      <c r="W5" s="88"/>
      <c r="X5" s="89"/>
      <c r="Y5" s="89"/>
      <c r="Z5" s="89"/>
      <c r="AA5" s="89"/>
      <c r="AB5" s="89"/>
      <c r="AC5" s="89"/>
      <c r="AD5" s="89"/>
      <c r="AE5" s="89"/>
      <c r="AF5" s="89"/>
      <c r="AG5" s="89"/>
      <c r="AH5" s="89"/>
      <c r="AI5" s="85"/>
      <c r="AJ5" s="85"/>
      <c r="AK5" s="85"/>
      <c r="AL5" s="85"/>
      <c r="AM5" s="85"/>
      <c r="AN5" s="85"/>
      <c r="AO5" s="85"/>
      <c r="AP5" s="85"/>
      <c r="AQ5" s="85"/>
      <c r="AR5" s="85"/>
      <c r="AS5" s="85"/>
      <c r="AT5" s="85"/>
      <c r="AU5" s="85"/>
      <c r="AV5" s="85"/>
      <c r="AW5" s="85"/>
      <c r="AX5" s="85"/>
      <c r="AY5" s="85"/>
      <c r="AZ5" s="85"/>
    </row>
    <row r="6" spans="1:52" s="86" customFormat="1" ht="24" customHeight="1" x14ac:dyDescent="0.25">
      <c r="A6" s="2"/>
      <c r="B6" s="2"/>
      <c r="C6" s="2"/>
      <c r="D6" s="2"/>
      <c r="E6" s="2"/>
      <c r="F6" s="2"/>
      <c r="G6" s="2"/>
      <c r="H6" s="2"/>
      <c r="I6" s="2"/>
      <c r="J6" s="2"/>
      <c r="K6" s="2"/>
      <c r="L6" s="89"/>
      <c r="M6" s="136" t="s">
        <v>293</v>
      </c>
      <c r="N6" s="136">
        <f>VLOOKUP($N$1,Performance!M13:Y21,11)</f>
        <v>15</v>
      </c>
      <c r="O6" s="137" t="s">
        <v>283</v>
      </c>
      <c r="P6" s="89" t="str">
        <f>IF('2-Sizing'!G18=0, " -- ",CONCATENATE(N6,O6))</f>
        <v xml:space="preserve"> -- </v>
      </c>
      <c r="Q6" s="89"/>
      <c r="R6" s="89"/>
      <c r="S6" s="89"/>
      <c r="T6" s="89"/>
      <c r="U6" s="89"/>
      <c r="V6" s="89"/>
      <c r="W6" s="88"/>
      <c r="X6" s="89"/>
      <c r="Y6" s="89"/>
      <c r="Z6" s="89"/>
      <c r="AA6" s="89"/>
      <c r="AB6" s="89"/>
      <c r="AC6" s="89"/>
      <c r="AD6" s="89"/>
      <c r="AE6" s="89"/>
      <c r="AF6" s="89"/>
      <c r="AG6" s="89"/>
      <c r="AH6" s="89"/>
      <c r="AI6" s="85"/>
      <c r="AJ6" s="85"/>
      <c r="AK6" s="85"/>
      <c r="AL6" s="85"/>
      <c r="AM6" s="85"/>
      <c r="AN6" s="85"/>
      <c r="AO6" s="85"/>
      <c r="AP6" s="85"/>
      <c r="AQ6" s="85"/>
      <c r="AR6" s="85"/>
      <c r="AS6" s="85"/>
      <c r="AT6" s="85"/>
      <c r="AU6" s="85"/>
      <c r="AV6" s="85"/>
      <c r="AW6" s="85"/>
      <c r="AX6" s="85"/>
      <c r="AY6" s="85"/>
      <c r="AZ6" s="85"/>
    </row>
    <row r="7" spans="1:52" s="86" customFormat="1" ht="24" customHeight="1" x14ac:dyDescent="0.25">
      <c r="A7" s="2"/>
      <c r="B7" s="2"/>
      <c r="C7" s="2"/>
      <c r="D7" s="2"/>
      <c r="E7" s="2"/>
      <c r="F7" s="2"/>
      <c r="G7" s="2"/>
      <c r="H7" s="2"/>
      <c r="I7" s="2"/>
      <c r="J7" s="2"/>
      <c r="K7" s="2"/>
      <c r="L7" s="89"/>
      <c r="M7" s="136" t="s">
        <v>319</v>
      </c>
      <c r="N7" s="371">
        <f>'3a-DWG 1-6 Modules (Online)'!N7</f>
        <v>5.6000000000000001E-2</v>
      </c>
      <c r="O7" s="362" t="str">
        <f>'3a-DWG 1-6 Modules (Online)'!O7</f>
        <v>-cfs</v>
      </c>
      <c r="P7" s="318" t="str">
        <f>IF('2-Sizing'!G18=0, " -- ",IF('Flow Rate Charts'!M26=11,CONCATENATE(N7,O7)," "))</f>
        <v xml:space="preserve"> -- </v>
      </c>
      <c r="Q7" s="89" t="s">
        <v>320</v>
      </c>
      <c r="R7" s="328">
        <f>38*N7</f>
        <v>2.1280000000000001</v>
      </c>
      <c r="S7" s="318" t="str">
        <f>IF('Flow Rate Charts'!M26=11,CONCATENATE(R7,O7)," ")</f>
        <v xml:space="preserve"> </v>
      </c>
      <c r="T7" s="89"/>
      <c r="U7" s="89"/>
      <c r="V7" s="89"/>
      <c r="W7" s="88"/>
      <c r="X7" s="89"/>
      <c r="Y7" s="89"/>
      <c r="Z7" s="89"/>
      <c r="AA7" s="89"/>
      <c r="AB7" s="89"/>
      <c r="AC7" s="89"/>
      <c r="AD7" s="89"/>
      <c r="AE7" s="89"/>
      <c r="AF7" s="89"/>
      <c r="AG7" s="89"/>
      <c r="AH7" s="89"/>
      <c r="AI7" s="85"/>
      <c r="AJ7" s="85"/>
      <c r="AK7" s="85"/>
      <c r="AL7" s="85"/>
      <c r="AM7" s="85"/>
      <c r="AN7" s="85"/>
      <c r="AO7" s="85"/>
      <c r="AP7" s="85"/>
      <c r="AQ7" s="85"/>
      <c r="AR7" s="85"/>
      <c r="AS7" s="85"/>
      <c r="AT7" s="85"/>
      <c r="AU7" s="85"/>
      <c r="AV7" s="85"/>
      <c r="AW7" s="85"/>
      <c r="AX7" s="85"/>
      <c r="AY7" s="85"/>
      <c r="AZ7" s="85"/>
    </row>
    <row r="8" spans="1:52" s="86" customFormat="1" ht="24" customHeight="1" x14ac:dyDescent="0.25">
      <c r="A8" s="2"/>
      <c r="B8" s="2"/>
      <c r="C8" s="2"/>
      <c r="D8" s="2"/>
      <c r="E8" s="2"/>
      <c r="F8" s="2"/>
      <c r="G8" s="2"/>
      <c r="H8" s="2"/>
      <c r="I8" s="2"/>
      <c r="J8" s="2"/>
      <c r="K8" s="2"/>
      <c r="L8" s="89"/>
      <c r="M8" s="136" t="s">
        <v>48</v>
      </c>
      <c r="N8" s="293">
        <f>IF(N1=4,ROUNDUP('2-Sizing'!V18,0), "Varies")</f>
        <v>0</v>
      </c>
      <c r="O8" s="137" t="str">
        <f>IF(N8="Varies", " ", "-gpm")</f>
        <v>-gpm</v>
      </c>
      <c r="P8" s="318" t="str">
        <f>IF('2-Sizing'!G18=0, " -- ",IF('Flow Rate Charts'!M26=11,CONCATENATE(N8,O8)," "))</f>
        <v xml:space="preserve"> -- </v>
      </c>
      <c r="Q8" s="89"/>
      <c r="R8" s="89"/>
      <c r="S8" s="89"/>
      <c r="T8" s="89"/>
      <c r="U8" s="89"/>
      <c r="V8" s="89"/>
      <c r="W8" s="88"/>
      <c r="X8" s="89"/>
      <c r="Y8" s="89"/>
      <c r="Z8" s="89"/>
      <c r="AA8" s="89"/>
      <c r="AB8" s="89"/>
      <c r="AC8" s="89"/>
      <c r="AD8" s="89"/>
      <c r="AE8" s="89"/>
      <c r="AF8" s="89"/>
      <c r="AG8" s="89"/>
      <c r="AH8" s="89"/>
      <c r="AI8" s="85"/>
      <c r="AJ8" s="85"/>
      <c r="AK8" s="85"/>
      <c r="AL8" s="85"/>
      <c r="AM8" s="85"/>
      <c r="AN8" s="85"/>
      <c r="AO8" s="85"/>
      <c r="AP8" s="85"/>
      <c r="AQ8" s="85"/>
      <c r="AR8" s="85"/>
      <c r="AS8" s="85"/>
      <c r="AT8" s="85"/>
      <c r="AU8" s="85"/>
      <c r="AV8" s="85"/>
      <c r="AW8" s="85"/>
      <c r="AX8" s="85"/>
      <c r="AY8" s="85"/>
      <c r="AZ8" s="85"/>
    </row>
    <row r="9" spans="1:52" s="86" customFormat="1" ht="24" customHeight="1" x14ac:dyDescent="0.25">
      <c r="A9" s="2"/>
      <c r="B9" s="2"/>
      <c r="C9" s="2"/>
      <c r="D9" s="2"/>
      <c r="E9" s="2"/>
      <c r="F9" s="2"/>
      <c r="G9" s="2"/>
      <c r="H9" s="2"/>
      <c r="I9" s="2"/>
      <c r="J9" s="2"/>
      <c r="K9" s="2"/>
      <c r="L9" s="89"/>
      <c r="M9" s="136" t="s">
        <v>294</v>
      </c>
      <c r="N9" s="293">
        <f>IF('Flow Rate Charts'!M35=4,15,36)</f>
        <v>15</v>
      </c>
      <c r="O9" s="137" t="s">
        <v>283</v>
      </c>
      <c r="P9" s="148" t="str">
        <f>IF('2-Sizing'!G18=0, " -- ",IF('Flow Rate Charts'!M26=11,CONCATENATE(N9,O9)," "))</f>
        <v xml:space="preserve"> -- </v>
      </c>
      <c r="Q9" s="89"/>
      <c r="R9" s="89"/>
      <c r="S9" s="89"/>
      <c r="T9" s="89"/>
      <c r="U9" s="89"/>
      <c r="V9" s="89"/>
      <c r="W9" s="88"/>
      <c r="X9" s="89"/>
      <c r="Y9" s="89"/>
      <c r="Z9" s="89"/>
      <c r="AA9" s="89"/>
      <c r="AB9" s="89"/>
      <c r="AC9" s="89"/>
      <c r="AD9" s="89"/>
      <c r="AE9" s="89"/>
      <c r="AF9" s="89"/>
      <c r="AG9" s="89"/>
      <c r="AH9" s="89"/>
      <c r="AI9" s="85"/>
      <c r="AJ9" s="85"/>
      <c r="AK9" s="85"/>
      <c r="AL9" s="85"/>
      <c r="AM9" s="85"/>
      <c r="AN9" s="85"/>
      <c r="AO9" s="85"/>
      <c r="AP9" s="85"/>
      <c r="AQ9" s="85"/>
      <c r="AR9" s="85"/>
      <c r="AS9" s="85"/>
      <c r="AT9" s="85"/>
      <c r="AU9" s="85"/>
      <c r="AV9" s="85"/>
      <c r="AW9" s="85"/>
      <c r="AX9" s="85"/>
      <c r="AY9" s="85"/>
      <c r="AZ9" s="85"/>
    </row>
    <row r="10" spans="1:52" s="86" customFormat="1" ht="24" customHeight="1" x14ac:dyDescent="0.25">
      <c r="A10" s="2"/>
      <c r="B10" s="2"/>
      <c r="C10" s="2"/>
      <c r="D10" s="2"/>
      <c r="E10" s="2"/>
      <c r="F10" s="2"/>
      <c r="G10" s="2"/>
      <c r="H10" s="2"/>
      <c r="I10" s="2"/>
      <c r="J10" s="2"/>
      <c r="K10" s="2"/>
      <c r="L10" s="89"/>
      <c r="M10" s="136" t="s">
        <v>49</v>
      </c>
      <c r="N10" s="311">
        <f>ROUND(VLOOKUP(N1,Performance!M13:U21,9),1)</f>
        <v>16.600000000000001</v>
      </c>
      <c r="O10" s="137" t="s">
        <v>301</v>
      </c>
      <c r="P10" s="318" t="str">
        <f>IF('2-Sizing'!G18=0, " -- ",IF('Flow Rate Charts'!M26=11,CONCATENATE(N10,O10)," "))</f>
        <v xml:space="preserve"> -- </v>
      </c>
      <c r="Q10" s="89"/>
      <c r="R10" s="89"/>
      <c r="S10" s="89"/>
      <c r="T10" s="89"/>
      <c r="U10" s="89"/>
      <c r="V10" s="89"/>
      <c r="W10" s="88"/>
      <c r="X10" s="89"/>
      <c r="Y10" s="89"/>
      <c r="Z10" s="89"/>
      <c r="AA10" s="89"/>
      <c r="AB10" s="89"/>
      <c r="AC10" s="89"/>
      <c r="AD10" s="89"/>
      <c r="AE10" s="89"/>
      <c r="AF10" s="89"/>
      <c r="AG10" s="89"/>
      <c r="AH10" s="89"/>
      <c r="AI10" s="85"/>
      <c r="AJ10" s="85"/>
      <c r="AK10" s="85"/>
      <c r="AL10" s="85"/>
      <c r="AM10" s="85"/>
      <c r="AN10" s="85"/>
      <c r="AO10" s="85"/>
      <c r="AP10" s="85"/>
      <c r="AQ10" s="85"/>
      <c r="AR10" s="85"/>
      <c r="AS10" s="85"/>
      <c r="AT10" s="85"/>
      <c r="AU10" s="85"/>
      <c r="AV10" s="85"/>
      <c r="AW10" s="85"/>
      <c r="AX10" s="85"/>
      <c r="AY10" s="85"/>
      <c r="AZ10" s="85"/>
    </row>
    <row r="11" spans="1:52" s="86" customFormat="1" ht="24" customHeight="1" x14ac:dyDescent="0.25">
      <c r="A11" s="2"/>
      <c r="B11" s="2"/>
      <c r="C11" s="2"/>
      <c r="D11" s="2"/>
      <c r="E11" s="2"/>
      <c r="F11" s="2"/>
      <c r="G11" s="2"/>
      <c r="H11" s="2"/>
      <c r="I11" s="2"/>
      <c r="J11" s="2"/>
      <c r="K11" s="2"/>
      <c r="L11" s="89"/>
      <c r="M11" s="136" t="s">
        <v>299</v>
      </c>
      <c r="N11" s="139">
        <f>ROUND(VLOOKUP(N1,Performance!M13:U21,8),1)</f>
        <v>50</v>
      </c>
      <c r="O11" s="137" t="s">
        <v>300</v>
      </c>
      <c r="P11" s="318" t="str">
        <f>IF('2-Sizing'!G18=0, " -- ",IF('Flow Rate Charts'!M26=11,CONCATENATE(N11,O11)," "))</f>
        <v xml:space="preserve"> -- </v>
      </c>
      <c r="Q11" s="89"/>
      <c r="R11" s="89"/>
      <c r="S11" s="89"/>
      <c r="T11" s="89"/>
      <c r="U11" s="89"/>
      <c r="V11" s="89"/>
      <c r="W11" s="88"/>
      <c r="X11" s="89"/>
      <c r="Y11" s="89"/>
      <c r="Z11" s="89"/>
      <c r="AA11" s="89"/>
      <c r="AB11" s="89"/>
      <c r="AC11" s="89"/>
      <c r="AD11" s="89"/>
      <c r="AE11" s="89"/>
      <c r="AF11" s="89"/>
      <c r="AG11" s="89"/>
      <c r="AH11" s="89"/>
      <c r="AI11" s="85"/>
      <c r="AJ11" s="85"/>
      <c r="AK11" s="85"/>
      <c r="AL11" s="85"/>
      <c r="AM11" s="85"/>
      <c r="AN11" s="85"/>
      <c r="AO11" s="85"/>
      <c r="AP11" s="85"/>
      <c r="AQ11" s="85"/>
      <c r="AR11" s="85"/>
      <c r="AS11" s="85"/>
      <c r="AT11" s="85"/>
      <c r="AU11" s="85"/>
      <c r="AV11" s="85"/>
      <c r="AW11" s="85"/>
      <c r="AX11" s="85"/>
      <c r="AY11" s="85"/>
      <c r="AZ11" s="85"/>
    </row>
    <row r="12" spans="1:52" s="86" customFormat="1" ht="24" customHeight="1" x14ac:dyDescent="0.25">
      <c r="A12" s="2"/>
      <c r="B12" s="2"/>
      <c r="C12" s="2"/>
      <c r="D12" s="2"/>
      <c r="E12" s="2"/>
      <c r="F12" s="2"/>
      <c r="G12" s="2"/>
      <c r="H12" s="2"/>
      <c r="I12" s="2"/>
      <c r="J12" s="2"/>
      <c r="K12" s="2"/>
      <c r="L12" s="89"/>
      <c r="M12" s="136" t="s">
        <v>52</v>
      </c>
      <c r="N12" s="136">
        <v>5</v>
      </c>
      <c r="O12" s="137" t="s">
        <v>54</v>
      </c>
      <c r="P12" s="89" t="str">
        <f>IF('2-Sizing'!G18=0, " -- ",CONCATENATE("Min. ",N12,O12))</f>
        <v xml:space="preserve"> -- </v>
      </c>
      <c r="Q12" s="89" t="str">
        <f>IF('2-Sizing'!G18=0, " -- ",CONCATENATE(N12,O12))</f>
        <v xml:space="preserve"> -- </v>
      </c>
      <c r="R12" s="89"/>
      <c r="S12" s="89"/>
      <c r="T12" s="89"/>
      <c r="U12" s="89"/>
      <c r="V12" s="89"/>
      <c r="W12" s="88"/>
      <c r="X12" s="89"/>
      <c r="Y12" s="89"/>
      <c r="Z12" s="89"/>
      <c r="AA12" s="89"/>
      <c r="AB12" s="89"/>
      <c r="AC12" s="89"/>
      <c r="AD12" s="89"/>
      <c r="AE12" s="89"/>
      <c r="AF12" s="89"/>
      <c r="AG12" s="89"/>
      <c r="AH12" s="89"/>
      <c r="AI12" s="85"/>
      <c r="AJ12" s="85"/>
      <c r="AK12" s="85"/>
      <c r="AL12" s="85"/>
      <c r="AM12" s="85"/>
      <c r="AN12" s="85"/>
      <c r="AO12" s="85"/>
      <c r="AP12" s="85"/>
      <c r="AQ12" s="85"/>
      <c r="AR12" s="85"/>
      <c r="AS12" s="85"/>
      <c r="AT12" s="85"/>
      <c r="AU12" s="85"/>
      <c r="AV12" s="85"/>
      <c r="AW12" s="85"/>
      <c r="AX12" s="85"/>
      <c r="AY12" s="85"/>
      <c r="AZ12" s="85"/>
    </row>
    <row r="13" spans="1:52" s="86" customFormat="1" ht="24" customHeight="1" x14ac:dyDescent="0.25">
      <c r="A13" s="2"/>
      <c r="B13" s="2"/>
      <c r="C13" s="2"/>
      <c r="D13" s="2"/>
      <c r="E13" s="2"/>
      <c r="F13" s="2"/>
      <c r="G13" s="2"/>
      <c r="H13" s="2"/>
      <c r="I13" s="2"/>
      <c r="J13" s="2"/>
      <c r="K13" s="2"/>
      <c r="L13" s="89"/>
      <c r="M13" s="136" t="s">
        <v>53</v>
      </c>
      <c r="N13" s="136">
        <f>ROUND(VLOOKUP(N1,Performance!M13:U21,2),1)</f>
        <v>3</v>
      </c>
      <c r="O13" s="137" t="s">
        <v>54</v>
      </c>
      <c r="P13" s="89" t="str">
        <f>IF('2-Sizing'!G18=0, " -- ",CONCATENATE("Std. ",N13,O13))</f>
        <v xml:space="preserve"> -- </v>
      </c>
      <c r="Q13" s="89" t="str">
        <f>IF('2-Sizing'!G18=0, " -- ",CONCATENATE(N13,O13))</f>
        <v xml:space="preserve"> -- </v>
      </c>
      <c r="R13" s="89"/>
      <c r="S13" s="89"/>
      <c r="T13" s="89"/>
      <c r="U13" s="89"/>
      <c r="V13" s="89"/>
      <c r="W13" s="88"/>
      <c r="X13" s="89"/>
      <c r="Y13" s="89"/>
      <c r="Z13" s="89"/>
      <c r="AA13" s="89"/>
      <c r="AB13" s="89"/>
      <c r="AC13" s="89"/>
      <c r="AD13" s="89"/>
      <c r="AE13" s="89"/>
      <c r="AF13" s="89"/>
      <c r="AG13" s="89"/>
      <c r="AH13" s="89"/>
      <c r="AI13" s="85"/>
      <c r="AJ13" s="85"/>
      <c r="AK13" s="85"/>
      <c r="AL13" s="85"/>
      <c r="AM13" s="85"/>
      <c r="AN13" s="85"/>
      <c r="AO13" s="85"/>
      <c r="AP13" s="85"/>
      <c r="AQ13" s="85"/>
      <c r="AR13" s="85"/>
      <c r="AS13" s="85"/>
      <c r="AT13" s="85"/>
      <c r="AU13" s="85"/>
      <c r="AV13" s="85"/>
      <c r="AW13" s="85"/>
      <c r="AX13" s="85"/>
      <c r="AY13" s="85"/>
      <c r="AZ13" s="85"/>
    </row>
    <row r="14" spans="1:52" s="86" customFormat="1" ht="24" customHeight="1" x14ac:dyDescent="0.25">
      <c r="A14" s="2"/>
      <c r="B14" s="2"/>
      <c r="C14" s="2"/>
      <c r="D14" s="2"/>
      <c r="E14" s="2"/>
      <c r="F14" s="2"/>
      <c r="G14" s="2"/>
      <c r="H14" s="2"/>
      <c r="I14" s="2"/>
      <c r="J14" s="2"/>
      <c r="K14" s="2"/>
      <c r="L14" s="89"/>
      <c r="M14" s="136" t="s">
        <v>47</v>
      </c>
      <c r="N14" s="89">
        <f>'2-Sizing'!K20</f>
        <v>15</v>
      </c>
      <c r="O14" s="137" t="s">
        <v>283</v>
      </c>
      <c r="P14" s="318" t="str">
        <f>IF('2-Sizing'!G18=0, " -- ",IF('Flow Rate Charts'!M26=11,CONCATENATE(N14,O14)," "))</f>
        <v xml:space="preserve"> -- </v>
      </c>
      <c r="Q14" s="89"/>
      <c r="R14" s="89"/>
      <c r="S14" s="89"/>
      <c r="T14" s="89"/>
      <c r="U14" s="89"/>
      <c r="V14" s="89"/>
      <c r="W14" s="88"/>
      <c r="X14" s="89"/>
      <c r="Y14" s="89"/>
      <c r="Z14" s="89"/>
      <c r="AA14" s="89"/>
      <c r="AB14" s="89"/>
      <c r="AC14" s="89"/>
      <c r="AD14" s="89"/>
      <c r="AE14" s="89"/>
      <c r="AF14" s="89"/>
      <c r="AG14" s="89"/>
      <c r="AH14" s="89"/>
      <c r="AI14" s="85"/>
      <c r="AJ14" s="85"/>
      <c r="AK14" s="85"/>
      <c r="AL14" s="85"/>
      <c r="AM14" s="85"/>
      <c r="AN14" s="85"/>
      <c r="AO14" s="85"/>
      <c r="AP14" s="85"/>
      <c r="AQ14" s="85"/>
      <c r="AR14" s="85"/>
      <c r="AS14" s="85"/>
      <c r="AT14" s="85"/>
      <c r="AU14" s="85"/>
      <c r="AV14" s="85"/>
      <c r="AW14" s="85"/>
      <c r="AX14" s="85"/>
      <c r="AY14" s="85"/>
      <c r="AZ14" s="85"/>
    </row>
    <row r="15" spans="1:52" s="86" customFormat="1" ht="24" customHeight="1" x14ac:dyDescent="0.25">
      <c r="A15" s="2"/>
      <c r="B15" s="2"/>
      <c r="C15" s="2"/>
      <c r="D15" s="2"/>
      <c r="E15" s="2"/>
      <c r="F15" s="2"/>
      <c r="G15" s="2"/>
      <c r="H15" s="2"/>
      <c r="I15" s="2"/>
      <c r="J15" s="2"/>
      <c r="K15" s="2"/>
      <c r="L15" s="89"/>
      <c r="M15" s="136" t="s">
        <v>28</v>
      </c>
      <c r="N15" s="89" t="s">
        <v>55</v>
      </c>
      <c r="O15" s="89"/>
      <c r="P15" s="89"/>
      <c r="Q15" s="89"/>
      <c r="R15" s="89"/>
      <c r="S15" s="89"/>
      <c r="T15" s="89"/>
      <c r="U15" s="89"/>
      <c r="V15" s="89"/>
      <c r="W15" s="88"/>
      <c r="X15" s="89"/>
      <c r="Y15" s="89"/>
      <c r="Z15" s="89"/>
      <c r="AA15" s="89"/>
      <c r="AB15" s="89"/>
      <c r="AC15" s="89"/>
      <c r="AD15" s="89"/>
      <c r="AE15" s="89"/>
      <c r="AF15" s="89"/>
      <c r="AG15" s="89"/>
      <c r="AH15" s="89"/>
      <c r="AI15" s="85"/>
      <c r="AJ15" s="85"/>
      <c r="AK15" s="85"/>
      <c r="AL15" s="85"/>
      <c r="AM15" s="85"/>
      <c r="AN15" s="85"/>
      <c r="AO15" s="85"/>
      <c r="AP15" s="85"/>
      <c r="AQ15" s="85"/>
      <c r="AR15" s="85"/>
      <c r="AS15" s="85"/>
      <c r="AT15" s="85"/>
      <c r="AU15" s="85"/>
      <c r="AV15" s="85"/>
      <c r="AW15" s="85"/>
      <c r="AX15" s="85"/>
      <c r="AY15" s="85"/>
      <c r="AZ15" s="85"/>
    </row>
    <row r="16" spans="1:52" s="86" customFormat="1" ht="24" customHeight="1" x14ac:dyDescent="0.25">
      <c r="A16" s="2"/>
      <c r="B16" s="2"/>
      <c r="C16" s="2"/>
      <c r="D16" s="2"/>
      <c r="E16" s="2"/>
      <c r="F16" s="2"/>
      <c r="G16" s="2"/>
      <c r="H16" s="2"/>
      <c r="I16" s="2"/>
      <c r="J16" s="2"/>
      <c r="K16" s="2"/>
      <c r="L16" s="89"/>
      <c r="M16" s="89"/>
      <c r="N16" s="89" t="s">
        <v>345</v>
      </c>
      <c r="O16" s="89"/>
      <c r="P16" s="89"/>
      <c r="Q16" s="89"/>
      <c r="R16" s="89"/>
      <c r="S16" s="89"/>
      <c r="T16" s="89"/>
      <c r="U16" s="89"/>
      <c r="V16" s="89"/>
      <c r="W16" s="88"/>
      <c r="X16" s="89"/>
      <c r="Y16" s="89"/>
      <c r="Z16" s="89"/>
      <c r="AA16" s="89"/>
      <c r="AB16" s="89"/>
      <c r="AC16" s="89"/>
      <c r="AD16" s="89"/>
      <c r="AE16" s="89"/>
      <c r="AF16" s="89"/>
      <c r="AG16" s="89"/>
      <c r="AH16" s="89"/>
      <c r="AI16" s="85"/>
      <c r="AJ16" s="85"/>
      <c r="AK16" s="85"/>
      <c r="AL16" s="85"/>
      <c r="AM16" s="85"/>
      <c r="AN16" s="85"/>
      <c r="AO16" s="85"/>
      <c r="AP16" s="85"/>
      <c r="AQ16" s="85"/>
      <c r="AR16" s="85"/>
      <c r="AS16" s="85"/>
      <c r="AT16" s="85"/>
      <c r="AU16" s="85"/>
      <c r="AV16" s="85"/>
      <c r="AW16" s="85"/>
      <c r="AX16" s="85"/>
      <c r="AY16" s="85"/>
      <c r="AZ16" s="85"/>
    </row>
    <row r="17" spans="1:52" s="86" customFormat="1" ht="24" customHeight="1" x14ac:dyDescent="0.25">
      <c r="A17" s="2"/>
      <c r="B17" s="2"/>
      <c r="C17" s="2"/>
      <c r="D17" s="2"/>
      <c r="E17" s="2"/>
      <c r="F17" s="2"/>
      <c r="G17" s="2"/>
      <c r="H17" s="2"/>
      <c r="I17" s="2"/>
      <c r="J17" s="2"/>
      <c r="K17" s="2"/>
      <c r="L17" s="89"/>
      <c r="M17" s="89"/>
      <c r="N17" s="89" t="s">
        <v>56</v>
      </c>
      <c r="O17" s="89"/>
      <c r="P17" s="89"/>
      <c r="Q17" s="89"/>
      <c r="R17" s="89"/>
      <c r="S17" s="89"/>
      <c r="T17" s="89"/>
      <c r="U17" s="89"/>
      <c r="V17" s="89"/>
      <c r="W17" s="88"/>
      <c r="X17" s="89"/>
      <c r="Y17" s="89"/>
      <c r="Z17" s="89"/>
      <c r="AA17" s="89"/>
      <c r="AB17" s="89"/>
      <c r="AC17" s="89"/>
      <c r="AD17" s="89"/>
      <c r="AE17" s="89"/>
      <c r="AF17" s="89"/>
      <c r="AG17" s="89"/>
      <c r="AH17" s="89"/>
      <c r="AI17" s="85"/>
      <c r="AJ17" s="85"/>
      <c r="AK17" s="85"/>
      <c r="AL17" s="85"/>
      <c r="AM17" s="85"/>
      <c r="AN17" s="85"/>
      <c r="AO17" s="85"/>
      <c r="AP17" s="85"/>
      <c r="AQ17" s="85"/>
      <c r="AR17" s="85"/>
      <c r="AS17" s="85"/>
      <c r="AT17" s="85"/>
      <c r="AU17" s="85"/>
      <c r="AV17" s="85"/>
      <c r="AW17" s="85"/>
      <c r="AX17" s="85"/>
      <c r="AY17" s="85"/>
      <c r="AZ17" s="85"/>
    </row>
    <row r="18" spans="1:52" s="86" customFormat="1" ht="24" customHeight="1" x14ac:dyDescent="0.25">
      <c r="A18" s="2"/>
      <c r="B18" s="2"/>
      <c r="C18" s="2"/>
      <c r="D18" s="2"/>
      <c r="E18" s="2"/>
      <c r="F18" s="2"/>
      <c r="G18" s="2"/>
      <c r="H18" s="2"/>
      <c r="I18" s="2"/>
      <c r="J18" s="2"/>
      <c r="K18" s="2"/>
      <c r="L18" s="89"/>
      <c r="M18" s="89" t="s">
        <v>313</v>
      </c>
      <c r="N18" s="89">
        <v>20</v>
      </c>
      <c r="O18" s="89">
        <v>38</v>
      </c>
      <c r="P18" s="318" t="str">
        <f>IF('Flow Rate Charts'!M26=11,CONCATENATE(N18, " to ",O18)," ")</f>
        <v xml:space="preserve"> </v>
      </c>
      <c r="Q18" s="89"/>
      <c r="R18" s="89"/>
      <c r="S18" s="89"/>
      <c r="T18" s="89"/>
      <c r="U18" s="89"/>
      <c r="V18" s="89"/>
      <c r="W18" s="88"/>
      <c r="X18" s="89"/>
      <c r="Y18" s="89"/>
      <c r="Z18" s="89"/>
      <c r="AA18" s="89"/>
      <c r="AB18" s="89"/>
      <c r="AC18" s="89"/>
      <c r="AD18" s="89"/>
      <c r="AE18" s="89"/>
      <c r="AF18" s="89"/>
      <c r="AG18" s="89"/>
      <c r="AH18" s="89"/>
      <c r="AI18" s="85"/>
      <c r="AJ18" s="85"/>
      <c r="AK18" s="85"/>
      <c r="AL18" s="85"/>
      <c r="AM18" s="85"/>
      <c r="AN18" s="85"/>
      <c r="AO18" s="85"/>
      <c r="AP18" s="85"/>
      <c r="AQ18" s="85"/>
      <c r="AR18" s="85"/>
      <c r="AS18" s="85"/>
      <c r="AT18" s="85"/>
      <c r="AU18" s="85"/>
      <c r="AV18" s="85"/>
      <c r="AW18" s="85"/>
      <c r="AX18" s="85"/>
      <c r="AY18" s="85"/>
      <c r="AZ18" s="85"/>
    </row>
    <row r="19" spans="1:52" s="86" customFormat="1" ht="24" customHeight="1" x14ac:dyDescent="0.25">
      <c r="A19" s="2"/>
      <c r="B19" s="2"/>
      <c r="C19" s="2"/>
      <c r="D19" s="2"/>
      <c r="E19" s="2"/>
      <c r="F19" s="2"/>
      <c r="G19" s="2"/>
      <c r="H19" s="2"/>
      <c r="I19" s="2"/>
      <c r="J19" s="2"/>
      <c r="K19" s="2"/>
      <c r="L19" s="89"/>
      <c r="M19" s="136" t="s">
        <v>120</v>
      </c>
      <c r="N19" s="367">
        <f>IF('2-Sizing'!$K$22=0,N12,(ROUND('2-Sizing'!$K$22,2)))</f>
        <v>5</v>
      </c>
      <c r="O19" s="317" t="str">
        <f>IF('2-Sizing'!G18=0, " -- ",IF('Flow Rate Charts'!M26=11,CONCATENATE(N19,"-ft")," "))</f>
        <v xml:space="preserve"> -- </v>
      </c>
      <c r="P19" s="89"/>
      <c r="Q19" s="89"/>
      <c r="R19" s="89"/>
      <c r="S19" s="89"/>
      <c r="T19" s="89"/>
      <c r="U19" s="89"/>
      <c r="V19" s="89"/>
      <c r="W19" s="88"/>
      <c r="X19" s="89"/>
      <c r="Y19" s="89"/>
      <c r="Z19" s="89"/>
      <c r="AA19" s="89"/>
      <c r="AB19" s="89"/>
      <c r="AC19" s="89"/>
      <c r="AD19" s="89"/>
      <c r="AE19" s="89"/>
      <c r="AF19" s="89"/>
      <c r="AG19" s="89"/>
      <c r="AH19" s="89"/>
      <c r="AI19" s="85"/>
      <c r="AJ19" s="85"/>
      <c r="AK19" s="85"/>
      <c r="AL19" s="85"/>
      <c r="AM19" s="85"/>
      <c r="AN19" s="85"/>
      <c r="AO19" s="85"/>
      <c r="AP19" s="85"/>
      <c r="AQ19" s="85"/>
      <c r="AR19" s="85"/>
      <c r="AS19" s="85"/>
      <c r="AT19" s="85"/>
      <c r="AU19" s="85"/>
      <c r="AV19" s="85"/>
      <c r="AW19" s="85"/>
      <c r="AX19" s="85"/>
      <c r="AY19" s="85"/>
      <c r="AZ19" s="85"/>
    </row>
    <row r="20" spans="1:52" s="86" customFormat="1" ht="24" customHeight="1" x14ac:dyDescent="0.25">
      <c r="A20" s="2"/>
      <c r="B20" s="2"/>
      <c r="C20" s="2"/>
      <c r="D20" s="2"/>
      <c r="E20" s="2"/>
      <c r="F20" s="2"/>
      <c r="G20" s="2"/>
      <c r="H20" s="2"/>
      <c r="I20" s="2"/>
      <c r="J20" s="2"/>
      <c r="K20" s="2"/>
      <c r="L20" s="89"/>
      <c r="M20" s="136" t="s">
        <v>119</v>
      </c>
      <c r="N20" s="140">
        <f>ROUND('2-Sizing'!$K$18,2)</f>
        <v>0</v>
      </c>
      <c r="O20" s="317" t="str">
        <f>IF('2-Sizing'!G18=0, " -- ",IF('Flow Rate Charts'!M26=11,CONCATENATE(N20,"-ft")," "))</f>
        <v xml:space="preserve"> -- </v>
      </c>
      <c r="P20" s="227" t="str">
        <f>IF('2-Sizing'!G18=0, " -- ",CONCATENATE("EL. = ",N20,"-ft."))</f>
        <v xml:space="preserve"> -- </v>
      </c>
      <c r="Q20" s="89"/>
      <c r="R20" s="89"/>
      <c r="S20" s="89"/>
      <c r="T20" s="89"/>
      <c r="U20" s="89"/>
      <c r="V20" s="89"/>
      <c r="W20" s="88"/>
      <c r="X20" s="89"/>
      <c r="Y20" s="89"/>
      <c r="Z20" s="89"/>
      <c r="AA20" s="89"/>
      <c r="AB20" s="89"/>
      <c r="AC20" s="89"/>
      <c r="AD20" s="89"/>
      <c r="AE20" s="89"/>
      <c r="AF20" s="89"/>
      <c r="AG20" s="89"/>
      <c r="AH20" s="89"/>
      <c r="AI20" s="85"/>
      <c r="AJ20" s="85"/>
      <c r="AK20" s="85"/>
      <c r="AL20" s="85"/>
      <c r="AM20" s="85"/>
      <c r="AN20" s="85"/>
      <c r="AO20" s="85"/>
      <c r="AP20" s="85"/>
      <c r="AQ20" s="85"/>
      <c r="AR20" s="85"/>
      <c r="AS20" s="85"/>
      <c r="AT20" s="85"/>
      <c r="AU20" s="85"/>
      <c r="AV20" s="85"/>
      <c r="AW20" s="85"/>
      <c r="AX20" s="85"/>
      <c r="AY20" s="85"/>
      <c r="AZ20" s="85"/>
    </row>
    <row r="21" spans="1:52" s="86" customFormat="1" ht="24" customHeight="1" x14ac:dyDescent="0.25">
      <c r="A21" s="2"/>
      <c r="B21" s="2"/>
      <c r="C21" s="2"/>
      <c r="D21" s="2"/>
      <c r="E21" s="2"/>
      <c r="F21" s="2"/>
      <c r="G21" s="2"/>
      <c r="H21" s="2"/>
      <c r="I21" s="2"/>
      <c r="J21" s="2"/>
      <c r="K21" s="2"/>
      <c r="L21" s="89"/>
      <c r="M21" s="136" t="s">
        <v>315</v>
      </c>
      <c r="N21" s="370">
        <f>ROUND(N22+2.8,2)</f>
        <v>-0.2</v>
      </c>
      <c r="O21" s="317" t="str">
        <f>IF('2-Sizing'!G18=0, " -- ",IF('Flow Rate Charts'!M26=11,CONCATENATE(N21,"-ft")," "))</f>
        <v xml:space="preserve"> -- </v>
      </c>
      <c r="P21" s="89"/>
      <c r="Q21" s="89"/>
      <c r="R21" s="89"/>
      <c r="S21" s="89"/>
      <c r="T21" s="89"/>
      <c r="U21" s="89"/>
      <c r="V21" s="89"/>
      <c r="W21" s="88"/>
      <c r="X21" s="89"/>
      <c r="Y21" s="89"/>
      <c r="Z21" s="89"/>
      <c r="AA21" s="89"/>
      <c r="AB21" s="89"/>
      <c r="AC21" s="89"/>
      <c r="AD21" s="89"/>
      <c r="AE21" s="89"/>
      <c r="AF21" s="89"/>
      <c r="AG21" s="89"/>
      <c r="AH21" s="89"/>
      <c r="AI21" s="85"/>
      <c r="AJ21" s="85"/>
      <c r="AK21" s="85"/>
      <c r="AL21" s="85"/>
      <c r="AM21" s="85"/>
      <c r="AN21" s="85"/>
      <c r="AO21" s="85"/>
      <c r="AP21" s="85"/>
      <c r="AQ21" s="85"/>
      <c r="AR21" s="85"/>
      <c r="AS21" s="85"/>
      <c r="AT21" s="85"/>
      <c r="AU21" s="85"/>
      <c r="AV21" s="85"/>
      <c r="AW21" s="85"/>
      <c r="AX21" s="85"/>
      <c r="AY21" s="85"/>
      <c r="AZ21" s="85"/>
    </row>
    <row r="22" spans="1:52" s="86" customFormat="1" ht="24" customHeight="1" x14ac:dyDescent="0.25">
      <c r="A22" s="2"/>
      <c r="B22" s="2"/>
      <c r="C22" s="2"/>
      <c r="D22" s="2"/>
      <c r="E22" s="2"/>
      <c r="F22" s="2"/>
      <c r="G22" s="2"/>
      <c r="H22" s="2"/>
      <c r="I22" s="2"/>
      <c r="J22" s="2"/>
      <c r="K22" s="2"/>
      <c r="L22" s="89"/>
      <c r="M22" s="136" t="s">
        <v>117</v>
      </c>
      <c r="N22" s="140">
        <f>ROUND(N20-N13,2)</f>
        <v>-3</v>
      </c>
      <c r="O22" s="319" t="str">
        <f>IF('2-Sizing'!G18=0, " -- ",IF('Flow Rate Charts'!M26=11,CONCATENATE(N22,"-ft")," "))</f>
        <v xml:space="preserve"> -- </v>
      </c>
      <c r="P22" s="89"/>
      <c r="Q22" s="89"/>
      <c r="R22" s="89"/>
      <c r="S22" s="89"/>
      <c r="T22" s="89"/>
      <c r="U22" s="89"/>
      <c r="V22" s="89"/>
      <c r="W22" s="88"/>
      <c r="X22" s="89"/>
      <c r="Y22" s="89"/>
      <c r="Z22" s="89"/>
      <c r="AA22" s="89"/>
      <c r="AB22" s="89"/>
      <c r="AC22" s="89"/>
      <c r="AD22" s="89"/>
      <c r="AE22" s="89"/>
      <c r="AF22" s="89"/>
      <c r="AG22" s="89"/>
      <c r="AH22" s="89"/>
      <c r="AI22" s="85"/>
      <c r="AJ22" s="85"/>
      <c r="AK22" s="85"/>
      <c r="AL22" s="85"/>
      <c r="AM22" s="85"/>
      <c r="AN22" s="85"/>
      <c r="AO22" s="85"/>
      <c r="AP22" s="85"/>
      <c r="AQ22" s="85"/>
      <c r="AR22" s="85"/>
      <c r="AS22" s="85"/>
      <c r="AT22" s="85"/>
      <c r="AU22" s="85"/>
      <c r="AV22" s="85"/>
      <c r="AW22" s="85"/>
      <c r="AX22" s="85"/>
      <c r="AY22" s="85"/>
      <c r="AZ22" s="85"/>
    </row>
    <row r="23" spans="1:52" s="86" customFormat="1" ht="24" customHeight="1" x14ac:dyDescent="0.25">
      <c r="A23" s="2"/>
      <c r="B23" s="2"/>
      <c r="C23" s="2"/>
      <c r="D23" s="2"/>
      <c r="E23" s="2"/>
      <c r="F23" s="2"/>
      <c r="G23" s="2"/>
      <c r="H23" s="2"/>
      <c r="I23" s="2"/>
      <c r="J23" s="2"/>
      <c r="K23" s="2"/>
      <c r="L23" s="89"/>
      <c r="M23" s="136" t="s">
        <v>123</v>
      </c>
      <c r="N23" s="140">
        <f>ROUND(N19-N20,2)</f>
        <v>5</v>
      </c>
      <c r="O23" s="138" t="str">
        <f>IF('2-Sizing'!G18=0, " -- ",CONCATENATE(N23,"-ft"))</f>
        <v xml:space="preserve"> -- </v>
      </c>
      <c r="P23" s="89"/>
      <c r="Q23" s="89"/>
      <c r="R23" s="89"/>
      <c r="S23" s="89"/>
      <c r="T23" s="89"/>
      <c r="U23" s="89"/>
      <c r="V23" s="89"/>
      <c r="W23" s="88"/>
      <c r="X23" s="89"/>
      <c r="Y23" s="89"/>
      <c r="Z23" s="89"/>
      <c r="AA23" s="89"/>
      <c r="AB23" s="89"/>
      <c r="AC23" s="89"/>
      <c r="AD23" s="89"/>
      <c r="AE23" s="89"/>
      <c r="AF23" s="89"/>
      <c r="AG23" s="89"/>
      <c r="AH23" s="89"/>
      <c r="AI23" s="85"/>
      <c r="AJ23" s="85"/>
      <c r="AK23" s="85"/>
      <c r="AL23" s="85"/>
      <c r="AM23" s="85"/>
      <c r="AN23" s="85"/>
      <c r="AO23" s="85"/>
      <c r="AP23" s="85"/>
      <c r="AQ23" s="85"/>
      <c r="AR23" s="85"/>
      <c r="AS23" s="85"/>
      <c r="AT23" s="85"/>
      <c r="AU23" s="85"/>
      <c r="AV23" s="85"/>
      <c r="AW23" s="85"/>
      <c r="AX23" s="85"/>
      <c r="AY23" s="85"/>
      <c r="AZ23" s="85"/>
    </row>
    <row r="24" spans="1:52" s="86" customFormat="1" ht="24" customHeight="1" x14ac:dyDescent="0.25">
      <c r="A24" s="2"/>
      <c r="B24" s="2"/>
      <c r="C24" s="2"/>
      <c r="D24" s="2"/>
      <c r="E24" s="2"/>
      <c r="F24" s="2"/>
      <c r="G24" s="2"/>
      <c r="H24" s="2"/>
      <c r="I24" s="2"/>
      <c r="J24" s="2"/>
      <c r="K24" s="2"/>
      <c r="L24" s="89"/>
      <c r="M24" s="89" t="s">
        <v>311</v>
      </c>
      <c r="N24" s="89">
        <v>15</v>
      </c>
      <c r="O24" s="137" t="s">
        <v>283</v>
      </c>
      <c r="P24" s="89" t="str">
        <f>IF('2-Sizing'!G18=0, " -- ",CONCATENATE(N24,O24))</f>
        <v xml:space="preserve"> -- </v>
      </c>
      <c r="Q24" s="89"/>
      <c r="R24" s="89"/>
      <c r="S24" s="89"/>
      <c r="T24" s="89"/>
      <c r="U24" s="89"/>
      <c r="V24" s="89"/>
      <c r="W24" s="88"/>
      <c r="X24" s="89"/>
      <c r="Y24" s="89"/>
      <c r="Z24" s="89"/>
      <c r="AA24" s="89"/>
      <c r="AB24" s="89"/>
      <c r="AC24" s="89"/>
      <c r="AD24" s="89"/>
      <c r="AE24" s="89"/>
      <c r="AF24" s="89"/>
      <c r="AG24" s="89"/>
      <c r="AH24" s="89"/>
      <c r="AI24" s="85"/>
      <c r="AJ24" s="85"/>
      <c r="AK24" s="85"/>
      <c r="AL24" s="85"/>
      <c r="AM24" s="85"/>
      <c r="AN24" s="85"/>
      <c r="AO24" s="85"/>
      <c r="AP24" s="85"/>
      <c r="AQ24" s="85"/>
      <c r="AR24" s="85"/>
      <c r="AS24" s="85"/>
      <c r="AT24" s="85"/>
      <c r="AU24" s="85"/>
      <c r="AV24" s="85"/>
      <c r="AW24" s="85"/>
      <c r="AX24" s="85"/>
      <c r="AY24" s="85"/>
      <c r="AZ24" s="85"/>
    </row>
    <row r="25" spans="1:52" s="86" customFormat="1" ht="24" customHeight="1" x14ac:dyDescent="0.25">
      <c r="A25" s="2"/>
      <c r="B25" s="2"/>
      <c r="C25" s="2"/>
      <c r="D25" s="2"/>
      <c r="E25" s="2"/>
      <c r="F25" s="2"/>
      <c r="G25" s="2"/>
      <c r="H25" s="2"/>
      <c r="I25" s="2"/>
      <c r="J25" s="2"/>
      <c r="K25" s="2"/>
      <c r="L25" s="89"/>
      <c r="M25" s="89" t="s">
        <v>312</v>
      </c>
      <c r="N25" s="89">
        <f>ROUNDUP(N20+(29.5/12),2)</f>
        <v>2.46</v>
      </c>
      <c r="O25" s="319" t="str">
        <f>IF('2-Sizing'!G18=0, " -- ",IF('Flow Rate Charts'!M26=11,CONCATENATE(N25,"-ft")," "))</f>
        <v xml:space="preserve"> -- </v>
      </c>
      <c r="P25" s="89">
        <f>ROUNDUP(N20+(43/12),2)</f>
        <v>3.59</v>
      </c>
      <c r="Q25" s="317" t="str">
        <f>IF('2-Sizing'!G18=0, " -- ",IF('Flow Rate Charts'!M26=11,CONCATENATE(P25,"-ft")," "))</f>
        <v xml:space="preserve"> -- </v>
      </c>
      <c r="R25" s="89"/>
      <c r="S25" s="89"/>
      <c r="T25" s="89"/>
      <c r="U25" s="89"/>
      <c r="V25" s="89"/>
      <c r="W25" s="88"/>
      <c r="X25" s="89"/>
      <c r="Y25" s="89"/>
      <c r="Z25" s="89"/>
      <c r="AA25" s="89"/>
      <c r="AB25" s="89"/>
      <c r="AC25" s="89"/>
      <c r="AD25" s="89"/>
      <c r="AE25" s="89"/>
      <c r="AF25" s="89"/>
      <c r="AG25" s="89"/>
      <c r="AH25" s="89"/>
      <c r="AI25" s="85"/>
      <c r="AJ25" s="85"/>
      <c r="AK25" s="85"/>
      <c r="AL25" s="85"/>
      <c r="AM25" s="85"/>
      <c r="AN25" s="85"/>
      <c r="AO25" s="85"/>
      <c r="AP25" s="85"/>
      <c r="AQ25" s="85"/>
      <c r="AR25" s="85"/>
      <c r="AS25" s="85"/>
      <c r="AT25" s="85"/>
      <c r="AU25" s="85"/>
      <c r="AV25" s="85"/>
      <c r="AW25" s="85"/>
      <c r="AX25" s="85"/>
      <c r="AY25" s="85"/>
      <c r="AZ25" s="85"/>
    </row>
    <row r="26" spans="1:52" s="86" customFormat="1" ht="24" customHeight="1" x14ac:dyDescent="0.25">
      <c r="A26" s="2"/>
      <c r="B26" s="2"/>
      <c r="C26" s="2"/>
      <c r="D26" s="2"/>
      <c r="E26" s="2"/>
      <c r="F26" s="2"/>
      <c r="G26" s="2"/>
      <c r="H26" s="2"/>
      <c r="I26" s="2"/>
      <c r="J26" s="2"/>
      <c r="K26" s="2"/>
      <c r="L26" s="89"/>
      <c r="M26" s="89" t="s">
        <v>317</v>
      </c>
      <c r="N26" s="140">
        <f>ROUND(2+(N19-N20),2)</f>
        <v>7</v>
      </c>
      <c r="O26" s="137">
        <f>N26*12</f>
        <v>84</v>
      </c>
      <c r="P26" s="320" t="str">
        <f>IF('Flow Rate Charts'!M26=11,CONCATENATE(O26, "-in")," ")</f>
        <v xml:space="preserve"> </v>
      </c>
      <c r="Q26" s="89"/>
      <c r="R26" s="89"/>
      <c r="S26" s="89"/>
      <c r="T26" s="89"/>
      <c r="U26" s="89"/>
      <c r="V26" s="89"/>
      <c r="W26" s="88"/>
      <c r="X26" s="89"/>
      <c r="Y26" s="89"/>
      <c r="Z26" s="89"/>
      <c r="AA26" s="89"/>
      <c r="AB26" s="89"/>
      <c r="AC26" s="89"/>
      <c r="AD26" s="89"/>
      <c r="AE26" s="89"/>
      <c r="AF26" s="89"/>
      <c r="AG26" s="89"/>
      <c r="AH26" s="89"/>
      <c r="AI26" s="85"/>
      <c r="AJ26" s="85"/>
      <c r="AK26" s="85"/>
      <c r="AL26" s="85"/>
      <c r="AM26" s="85"/>
      <c r="AN26" s="85"/>
      <c r="AO26" s="85"/>
      <c r="AP26" s="85"/>
      <c r="AQ26" s="85"/>
      <c r="AR26" s="85"/>
      <c r="AS26" s="85"/>
      <c r="AT26" s="85"/>
      <c r="AU26" s="85"/>
      <c r="AV26" s="85"/>
      <c r="AW26" s="85"/>
      <c r="AX26" s="85"/>
      <c r="AY26" s="85"/>
      <c r="AZ26" s="85"/>
    </row>
    <row r="27" spans="1:52" s="86" customFormat="1" ht="24" customHeight="1" x14ac:dyDescent="0.25">
      <c r="A27" s="2"/>
      <c r="B27" s="2"/>
      <c r="C27" s="2"/>
      <c r="D27" s="2"/>
      <c r="E27" s="2"/>
      <c r="F27" s="2"/>
      <c r="G27" s="2"/>
      <c r="H27" s="2"/>
      <c r="I27" s="2"/>
      <c r="J27" s="2"/>
      <c r="K27" s="2"/>
      <c r="L27" s="89"/>
      <c r="M27" s="89" t="s">
        <v>318</v>
      </c>
      <c r="N27" s="85" t="str">
        <f>IF('2-Sizing'!C19="St. Louis MSD (20 gpm/Filter Module)","Filter Sand", "CPZ Mix Media")</f>
        <v>CPZ Mix Media</v>
      </c>
      <c r="O27" s="89">
        <f>O26-8</f>
        <v>76</v>
      </c>
      <c r="P27" s="320" t="str">
        <f>IF('Flow Rate Charts'!M26=11,CONCATENATE(O27, "-in")," ")</f>
        <v xml:space="preserve"> </v>
      </c>
      <c r="Q27" s="318" t="str">
        <f>IF('Flow Rate Charts'!M26=11,N27," ")</f>
        <v xml:space="preserve"> </v>
      </c>
      <c r="R27" s="89"/>
      <c r="S27" s="89"/>
      <c r="T27" s="89"/>
      <c r="U27" s="89"/>
      <c r="V27" s="89"/>
      <c r="W27" s="88"/>
      <c r="X27" s="89"/>
      <c r="Y27" s="89"/>
      <c r="Z27" s="89"/>
      <c r="AA27" s="89"/>
      <c r="AB27" s="89"/>
      <c r="AC27" s="89"/>
      <c r="AD27" s="89"/>
      <c r="AE27" s="89"/>
      <c r="AF27" s="89"/>
      <c r="AG27" s="89"/>
      <c r="AH27" s="89"/>
      <c r="AI27" s="85"/>
      <c r="AJ27" s="85"/>
      <c r="AK27" s="85"/>
      <c r="AL27" s="85"/>
      <c r="AM27" s="85"/>
      <c r="AN27" s="85"/>
      <c r="AO27" s="85"/>
      <c r="AP27" s="85"/>
      <c r="AQ27" s="85"/>
      <c r="AR27" s="85"/>
      <c r="AS27" s="85"/>
      <c r="AT27" s="85"/>
      <c r="AU27" s="85"/>
      <c r="AV27" s="85"/>
      <c r="AW27" s="85"/>
      <c r="AX27" s="85"/>
      <c r="AY27" s="85"/>
      <c r="AZ27" s="85"/>
    </row>
    <row r="28" spans="1:52" s="86" customFormat="1" ht="24" customHeight="1" x14ac:dyDescent="0.25">
      <c r="A28" s="2"/>
      <c r="B28" s="2"/>
      <c r="C28" s="2"/>
      <c r="D28" s="2"/>
      <c r="E28" s="2"/>
      <c r="F28" s="2"/>
      <c r="G28" s="2"/>
      <c r="H28" s="2"/>
      <c r="I28" s="2"/>
      <c r="J28" s="2"/>
      <c r="K28" s="2"/>
      <c r="L28" s="89"/>
      <c r="M28" s="89" t="s">
        <v>332</v>
      </c>
      <c r="N28" s="89" t="str">
        <f>IF('Flow Rate Charts'!M26=4,"Hydro International Does Not Recommend Use of This Drawing for the Design Parameters Entered. Use DWG 1-6 Modules (Online) on Tab 3a.",IF('Flow Rate Charts'!M26=7,"Hydro International Does Not Recommend Use of This Drawing for the Design Parameters Entered. Use DWG 1-7 Mods (On or Offline) on Tab 3b.", IF('Flow Rate Charts'!M26=10.5,"Hydro International Does Not Recommend the Use of This Drawing. Use DWG 8-19 Mods (On or Offline) on Worksheet 3c instead. ", IF('Flow Rate Charts'!M26=11, " ", IF('Flow Rate Charts'!M26=15,"Hydro International Does Not Recommend the Use of This Drawing. Use DWG 39-57 Mods (On or Offline) on Worksheet 3e instead.", " ")))))</f>
        <v>Hydro International Does Not Recommend Use of This Drawing for the Design Parameters Entered. Use DWG 1-6 Modules (Online) on Tab 3a.</v>
      </c>
      <c r="O28" s="89"/>
      <c r="P28" s="89"/>
      <c r="Q28" s="89"/>
      <c r="R28" s="89"/>
      <c r="S28" s="89"/>
      <c r="T28" s="89"/>
      <c r="U28" s="89"/>
      <c r="V28" s="89"/>
      <c r="W28" s="88"/>
      <c r="X28" s="89"/>
      <c r="Y28" s="89"/>
      <c r="Z28" s="89"/>
      <c r="AA28" s="89"/>
      <c r="AB28" s="89"/>
      <c r="AC28" s="89"/>
      <c r="AD28" s="89"/>
      <c r="AE28" s="89"/>
      <c r="AF28" s="89"/>
      <c r="AG28" s="89"/>
      <c r="AH28" s="89"/>
      <c r="AI28" s="85"/>
      <c r="AJ28" s="85"/>
      <c r="AK28" s="85"/>
      <c r="AL28" s="85"/>
      <c r="AM28" s="85"/>
      <c r="AN28" s="85"/>
      <c r="AO28" s="85"/>
      <c r="AP28" s="85"/>
      <c r="AQ28" s="85"/>
      <c r="AR28" s="85"/>
      <c r="AS28" s="85"/>
      <c r="AT28" s="85"/>
      <c r="AU28" s="85"/>
      <c r="AV28" s="85"/>
      <c r="AW28" s="85"/>
      <c r="AX28" s="85"/>
      <c r="AY28" s="85"/>
      <c r="AZ28" s="85"/>
    </row>
    <row r="29" spans="1:52" s="86" customFormat="1" ht="24" customHeight="1" x14ac:dyDescent="0.25">
      <c r="A29" s="2"/>
      <c r="B29" s="2"/>
      <c r="C29" s="2"/>
      <c r="D29" s="2"/>
      <c r="E29" s="2"/>
      <c r="F29" s="2"/>
      <c r="G29" s="2"/>
      <c r="H29" s="2"/>
      <c r="I29" s="2"/>
      <c r="J29" s="2"/>
      <c r="K29" s="2"/>
      <c r="L29" s="89"/>
      <c r="M29" s="89" t="s">
        <v>374</v>
      </c>
      <c r="N29" s="89">
        <f>ROUND((N19-N20)*12,1)</f>
        <v>60</v>
      </c>
      <c r="O29" s="89" t="str">
        <f>IF('2-Sizing'!G18=0, " -- ",IF('Flow Rate Charts'!M26=11,CONCATENATE(N29,"-in")," "))</f>
        <v xml:space="preserve"> -- </v>
      </c>
      <c r="P29" s="89"/>
      <c r="Q29" s="89"/>
      <c r="R29" s="89"/>
      <c r="S29" s="89"/>
      <c r="T29" s="89"/>
      <c r="U29" s="89"/>
      <c r="V29" s="89"/>
      <c r="W29" s="88"/>
      <c r="X29" s="89"/>
      <c r="Y29" s="89"/>
      <c r="Z29" s="89"/>
      <c r="AA29" s="89"/>
      <c r="AB29" s="89"/>
      <c r="AC29" s="89"/>
      <c r="AD29" s="89"/>
      <c r="AE29" s="89"/>
      <c r="AF29" s="89"/>
      <c r="AG29" s="89"/>
      <c r="AH29" s="89"/>
      <c r="AI29" s="85"/>
      <c r="AJ29" s="85"/>
      <c r="AK29" s="85"/>
      <c r="AL29" s="85"/>
      <c r="AM29" s="85"/>
      <c r="AN29" s="85"/>
      <c r="AO29" s="85"/>
      <c r="AP29" s="85"/>
      <c r="AQ29" s="85"/>
      <c r="AR29" s="85"/>
      <c r="AS29" s="85"/>
      <c r="AT29" s="85"/>
      <c r="AU29" s="85"/>
      <c r="AV29" s="85"/>
      <c r="AW29" s="85"/>
      <c r="AX29" s="85"/>
      <c r="AY29" s="85"/>
      <c r="AZ29" s="85"/>
    </row>
    <row r="30" spans="1:52" s="86" customFormat="1" ht="24" customHeight="1" x14ac:dyDescent="0.25">
      <c r="A30" s="2"/>
      <c r="B30" s="2"/>
      <c r="C30" s="2"/>
      <c r="D30" s="2"/>
      <c r="E30" s="2"/>
      <c r="F30" s="2"/>
      <c r="G30" s="2"/>
      <c r="H30" s="2"/>
      <c r="I30" s="2"/>
      <c r="J30" s="2"/>
      <c r="K30" s="2"/>
      <c r="L30" s="89"/>
      <c r="M30" s="89"/>
      <c r="N30" s="89"/>
      <c r="O30" s="89"/>
      <c r="P30" s="89"/>
      <c r="Q30" s="89"/>
      <c r="R30" s="89"/>
      <c r="S30" s="89"/>
      <c r="T30" s="89"/>
      <c r="U30" s="89"/>
      <c r="V30" s="89"/>
      <c r="W30" s="88"/>
      <c r="X30" s="89"/>
      <c r="Y30" s="89"/>
      <c r="Z30" s="89"/>
      <c r="AA30" s="89"/>
      <c r="AB30" s="89"/>
      <c r="AC30" s="89"/>
      <c r="AD30" s="89"/>
      <c r="AE30" s="89"/>
      <c r="AF30" s="89"/>
      <c r="AG30" s="89"/>
      <c r="AH30" s="89"/>
      <c r="AI30" s="85"/>
      <c r="AJ30" s="85"/>
      <c r="AK30" s="85"/>
      <c r="AL30" s="85"/>
      <c r="AM30" s="85"/>
      <c r="AN30" s="85"/>
      <c r="AO30" s="85"/>
      <c r="AP30" s="85"/>
      <c r="AQ30" s="85"/>
      <c r="AR30" s="85"/>
      <c r="AS30" s="85"/>
      <c r="AT30" s="85"/>
      <c r="AU30" s="85"/>
      <c r="AV30" s="85"/>
      <c r="AW30" s="85"/>
      <c r="AX30" s="85"/>
      <c r="AY30" s="85"/>
      <c r="AZ30" s="85"/>
    </row>
    <row r="31" spans="1:52" s="86" customFormat="1" ht="24" customHeight="1" x14ac:dyDescent="0.25">
      <c r="A31" s="2"/>
      <c r="B31" s="2"/>
      <c r="C31" s="2"/>
      <c r="D31" s="2"/>
      <c r="E31" s="2"/>
      <c r="F31" s="2"/>
      <c r="G31" s="2"/>
      <c r="H31" s="2"/>
      <c r="I31" s="2"/>
      <c r="J31" s="2"/>
      <c r="K31" s="2"/>
      <c r="L31" s="89"/>
      <c r="M31" s="89"/>
      <c r="N31" s="89"/>
      <c r="O31" s="89"/>
      <c r="P31" s="89"/>
      <c r="Q31" s="89"/>
      <c r="R31" s="89"/>
      <c r="S31" s="89"/>
      <c r="T31" s="89"/>
      <c r="U31" s="89"/>
      <c r="V31" s="89"/>
      <c r="W31" s="88"/>
      <c r="X31" s="89"/>
      <c r="Y31" s="89"/>
      <c r="Z31" s="89"/>
      <c r="AA31" s="89"/>
      <c r="AB31" s="89"/>
      <c r="AC31" s="89"/>
      <c r="AD31" s="89"/>
      <c r="AE31" s="89"/>
      <c r="AF31" s="89"/>
      <c r="AG31" s="89"/>
      <c r="AH31" s="89"/>
      <c r="AI31" s="85"/>
      <c r="AJ31" s="85"/>
      <c r="AK31" s="85"/>
      <c r="AL31" s="85"/>
      <c r="AM31" s="85"/>
      <c r="AN31" s="85"/>
      <c r="AO31" s="85"/>
      <c r="AP31" s="85"/>
      <c r="AQ31" s="85"/>
      <c r="AR31" s="85"/>
      <c r="AS31" s="85"/>
      <c r="AT31" s="85"/>
      <c r="AU31" s="85"/>
      <c r="AV31" s="85"/>
      <c r="AW31" s="85"/>
      <c r="AX31" s="85"/>
      <c r="AY31" s="85"/>
      <c r="AZ31" s="85"/>
    </row>
    <row r="32" spans="1:52" s="86" customFormat="1" ht="24" customHeight="1" x14ac:dyDescent="0.25">
      <c r="A32" s="2"/>
      <c r="B32" s="2"/>
      <c r="C32" s="2"/>
      <c r="D32" s="2"/>
      <c r="E32" s="2"/>
      <c r="F32" s="2"/>
      <c r="G32" s="2"/>
      <c r="H32" s="2"/>
      <c r="I32" s="2"/>
      <c r="J32" s="2"/>
      <c r="K32" s="2"/>
      <c r="L32" s="89"/>
      <c r="M32" s="89"/>
      <c r="N32" s="89"/>
      <c r="O32" s="89"/>
      <c r="P32" s="89"/>
      <c r="Q32" s="89"/>
      <c r="R32" s="89"/>
      <c r="S32" s="89"/>
      <c r="T32" s="89"/>
      <c r="U32" s="89"/>
      <c r="V32" s="89"/>
      <c r="W32" s="88"/>
      <c r="X32" s="89"/>
      <c r="Y32" s="89"/>
      <c r="Z32" s="89"/>
      <c r="AA32" s="89"/>
      <c r="AB32" s="89"/>
      <c r="AC32" s="89"/>
      <c r="AD32" s="89"/>
      <c r="AE32" s="89"/>
      <c r="AF32" s="89"/>
      <c r="AG32" s="89"/>
      <c r="AH32" s="89"/>
      <c r="AI32" s="85"/>
      <c r="AJ32" s="85"/>
      <c r="AK32" s="85"/>
      <c r="AL32" s="85"/>
      <c r="AM32" s="85"/>
      <c r="AN32" s="85"/>
      <c r="AO32" s="85"/>
      <c r="AP32" s="85"/>
      <c r="AQ32" s="85"/>
      <c r="AR32" s="85"/>
      <c r="AS32" s="85"/>
      <c r="AT32" s="85"/>
      <c r="AU32" s="85"/>
      <c r="AV32" s="85"/>
      <c r="AW32" s="85"/>
      <c r="AX32" s="85"/>
      <c r="AY32" s="85"/>
      <c r="AZ32" s="85"/>
    </row>
    <row r="33" spans="1:52" s="86" customFormat="1" ht="24" customHeight="1" x14ac:dyDescent="0.25">
      <c r="A33" s="2"/>
      <c r="B33" s="2"/>
      <c r="C33" s="2"/>
      <c r="D33" s="2"/>
      <c r="E33" s="2"/>
      <c r="F33" s="2"/>
      <c r="G33" s="2"/>
      <c r="H33" s="2"/>
      <c r="I33" s="2"/>
      <c r="J33" s="2"/>
      <c r="K33" s="2"/>
      <c r="L33" s="89"/>
      <c r="M33" s="89"/>
      <c r="N33" s="89"/>
      <c r="O33" s="89"/>
      <c r="P33" s="89"/>
      <c r="Q33" s="89"/>
      <c r="R33" s="89"/>
      <c r="S33" s="89"/>
      <c r="T33" s="89"/>
      <c r="U33" s="89"/>
      <c r="V33" s="89"/>
      <c r="W33" s="88"/>
      <c r="X33" s="89"/>
      <c r="Y33" s="89"/>
      <c r="Z33" s="89"/>
      <c r="AA33" s="89"/>
      <c r="AB33" s="89"/>
      <c r="AC33" s="89"/>
      <c r="AD33" s="89"/>
      <c r="AE33" s="89"/>
      <c r="AF33" s="89"/>
      <c r="AG33" s="89"/>
      <c r="AH33" s="89"/>
      <c r="AI33" s="85"/>
      <c r="AJ33" s="85"/>
      <c r="AK33" s="85"/>
      <c r="AL33" s="85"/>
      <c r="AM33" s="85"/>
      <c r="AN33" s="85"/>
      <c r="AO33" s="85"/>
      <c r="AP33" s="85"/>
      <c r="AQ33" s="85"/>
      <c r="AR33" s="85"/>
      <c r="AS33" s="85"/>
      <c r="AT33" s="85"/>
      <c r="AU33" s="85"/>
      <c r="AV33" s="85"/>
      <c r="AW33" s="85"/>
      <c r="AX33" s="85"/>
      <c r="AY33" s="85"/>
      <c r="AZ33" s="85"/>
    </row>
    <row r="34" spans="1:52" s="86" customFormat="1" ht="24" customHeight="1" x14ac:dyDescent="0.25">
      <c r="A34" s="2"/>
      <c r="B34" s="2"/>
      <c r="C34" s="2"/>
      <c r="D34" s="2"/>
      <c r="E34" s="2"/>
      <c r="F34" s="2"/>
      <c r="G34" s="2"/>
      <c r="H34" s="2"/>
      <c r="I34" s="2"/>
      <c r="J34" s="2"/>
      <c r="K34" s="2"/>
      <c r="L34" s="89"/>
      <c r="M34" s="89"/>
      <c r="N34" s="89"/>
      <c r="O34" s="89"/>
      <c r="P34" s="89"/>
      <c r="Q34" s="89"/>
      <c r="R34" s="89"/>
      <c r="S34" s="89"/>
      <c r="T34" s="89"/>
      <c r="U34" s="89"/>
      <c r="V34" s="89"/>
      <c r="W34" s="88"/>
      <c r="X34" s="89"/>
      <c r="Y34" s="89"/>
      <c r="Z34" s="89"/>
      <c r="AA34" s="89"/>
      <c r="AB34" s="89"/>
      <c r="AC34" s="89"/>
      <c r="AD34" s="89"/>
      <c r="AE34" s="89"/>
      <c r="AF34" s="89"/>
      <c r="AG34" s="89"/>
      <c r="AH34" s="89"/>
      <c r="AI34" s="85"/>
      <c r="AJ34" s="85"/>
      <c r="AK34" s="85"/>
      <c r="AL34" s="85"/>
      <c r="AM34" s="85"/>
      <c r="AN34" s="85"/>
      <c r="AO34" s="85"/>
      <c r="AP34" s="85"/>
      <c r="AQ34" s="85"/>
      <c r="AR34" s="85"/>
      <c r="AS34" s="85"/>
      <c r="AT34" s="85"/>
      <c r="AU34" s="85"/>
      <c r="AV34" s="85"/>
      <c r="AW34" s="85"/>
      <c r="AX34" s="85"/>
      <c r="AY34" s="85"/>
      <c r="AZ34" s="85"/>
    </row>
    <row r="35" spans="1:52" s="86" customFormat="1" ht="24" customHeight="1" x14ac:dyDescent="0.25">
      <c r="A35" s="2"/>
      <c r="B35" s="2"/>
      <c r="C35" s="2"/>
      <c r="D35" s="2"/>
      <c r="E35" s="2"/>
      <c r="F35" s="2"/>
      <c r="G35" s="2"/>
      <c r="H35" s="2"/>
      <c r="I35" s="2"/>
      <c r="J35" s="2"/>
      <c r="K35" s="2"/>
      <c r="L35" s="89"/>
      <c r="M35" s="89"/>
      <c r="N35" s="89"/>
      <c r="O35" s="89"/>
      <c r="P35" s="89"/>
      <c r="Q35" s="89"/>
      <c r="R35" s="89"/>
      <c r="S35" s="89"/>
      <c r="T35" s="89"/>
      <c r="U35" s="89"/>
      <c r="V35" s="89"/>
      <c r="W35" s="88"/>
      <c r="X35" s="89"/>
      <c r="Y35" s="89"/>
      <c r="Z35" s="89"/>
      <c r="AA35" s="89"/>
      <c r="AB35" s="89"/>
      <c r="AC35" s="89"/>
      <c r="AD35" s="89"/>
      <c r="AE35" s="89"/>
      <c r="AF35" s="89"/>
      <c r="AG35" s="89"/>
      <c r="AH35" s="89"/>
      <c r="AI35" s="85"/>
      <c r="AJ35" s="85"/>
      <c r="AK35" s="85"/>
      <c r="AL35" s="85"/>
      <c r="AM35" s="85"/>
      <c r="AN35" s="85"/>
      <c r="AO35" s="85"/>
      <c r="AP35" s="85"/>
      <c r="AQ35" s="85"/>
      <c r="AR35" s="85"/>
      <c r="AS35" s="85"/>
      <c r="AT35" s="85"/>
      <c r="AU35" s="85"/>
      <c r="AV35" s="85"/>
      <c r="AW35" s="85"/>
      <c r="AX35" s="85"/>
      <c r="AY35" s="85"/>
      <c r="AZ35" s="85"/>
    </row>
    <row r="36" spans="1:52" s="86" customFormat="1" ht="24" customHeight="1" x14ac:dyDescent="0.25">
      <c r="A36" s="2"/>
      <c r="B36" s="2"/>
      <c r="C36" s="2"/>
      <c r="D36" s="2"/>
      <c r="E36" s="2"/>
      <c r="F36" s="2"/>
      <c r="G36" s="2"/>
      <c r="H36" s="2"/>
      <c r="I36" s="2"/>
      <c r="J36" s="2"/>
      <c r="K36" s="2"/>
      <c r="L36" s="89"/>
      <c r="M36" s="89"/>
      <c r="N36" s="89"/>
      <c r="O36" s="89"/>
      <c r="P36" s="89"/>
      <c r="Q36" s="89"/>
      <c r="R36" s="89"/>
      <c r="S36" s="89"/>
      <c r="T36" s="89"/>
      <c r="U36" s="89"/>
      <c r="V36" s="89"/>
      <c r="W36" s="88"/>
      <c r="X36" s="89"/>
      <c r="Y36" s="89"/>
      <c r="Z36" s="89"/>
      <c r="AA36" s="89"/>
      <c r="AB36" s="89"/>
      <c r="AC36" s="89"/>
      <c r="AD36" s="89"/>
      <c r="AE36" s="89"/>
      <c r="AF36" s="89"/>
      <c r="AG36" s="89"/>
      <c r="AH36" s="89"/>
      <c r="AI36" s="85"/>
      <c r="AJ36" s="85"/>
      <c r="AK36" s="85"/>
      <c r="AL36" s="85"/>
      <c r="AM36" s="85"/>
      <c r="AN36" s="85"/>
      <c r="AO36" s="85"/>
      <c r="AP36" s="85"/>
      <c r="AQ36" s="85"/>
      <c r="AR36" s="85"/>
      <c r="AS36" s="85"/>
      <c r="AT36" s="85"/>
      <c r="AU36" s="85"/>
      <c r="AV36" s="85"/>
      <c r="AW36" s="85"/>
      <c r="AX36" s="85"/>
      <c r="AY36" s="85"/>
      <c r="AZ36" s="85"/>
    </row>
    <row r="37" spans="1:52" s="86" customFormat="1" ht="24" customHeight="1" x14ac:dyDescent="0.25">
      <c r="A37" s="2"/>
      <c r="B37" s="2"/>
      <c r="C37" s="2"/>
      <c r="D37" s="2"/>
      <c r="E37" s="2"/>
      <c r="F37" s="2"/>
      <c r="G37" s="2"/>
      <c r="H37" s="2"/>
      <c r="I37" s="2"/>
      <c r="J37" s="2"/>
      <c r="K37" s="2"/>
      <c r="L37" s="89"/>
      <c r="M37" s="89"/>
      <c r="N37" s="89"/>
      <c r="O37" s="89"/>
      <c r="P37" s="89"/>
      <c r="Q37" s="89"/>
      <c r="R37" s="89"/>
      <c r="S37" s="89"/>
      <c r="T37" s="89"/>
      <c r="U37" s="89"/>
      <c r="V37" s="89"/>
      <c r="W37" s="88"/>
      <c r="X37" s="89"/>
      <c r="Y37" s="89"/>
      <c r="Z37" s="89"/>
      <c r="AA37" s="89"/>
      <c r="AB37" s="89"/>
      <c r="AC37" s="89"/>
      <c r="AD37" s="89"/>
      <c r="AE37" s="89"/>
      <c r="AF37" s="89"/>
      <c r="AG37" s="89"/>
      <c r="AH37" s="89"/>
      <c r="AI37" s="85"/>
      <c r="AJ37" s="85"/>
      <c r="AK37" s="85"/>
      <c r="AL37" s="85"/>
      <c r="AM37" s="85"/>
      <c r="AN37" s="85"/>
      <c r="AO37" s="85"/>
      <c r="AP37" s="85"/>
      <c r="AQ37" s="85"/>
      <c r="AR37" s="85"/>
      <c r="AS37" s="85"/>
      <c r="AT37" s="85"/>
      <c r="AU37" s="85"/>
      <c r="AV37" s="85"/>
      <c r="AW37" s="85"/>
      <c r="AX37" s="85"/>
      <c r="AY37" s="85"/>
      <c r="AZ37" s="85"/>
    </row>
    <row r="38" spans="1:52" s="86" customFormat="1" ht="24" customHeight="1" x14ac:dyDescent="0.25">
      <c r="A38" s="2"/>
      <c r="B38" s="2"/>
      <c r="C38" s="2"/>
      <c r="D38" s="2"/>
      <c r="E38" s="2"/>
      <c r="F38" s="2"/>
      <c r="G38" s="2"/>
      <c r="H38" s="2"/>
      <c r="I38" s="2"/>
      <c r="J38" s="2"/>
      <c r="K38" s="2"/>
      <c r="L38" s="89"/>
      <c r="M38" s="89"/>
      <c r="N38" s="89"/>
      <c r="O38" s="89"/>
      <c r="P38" s="89"/>
      <c r="Q38" s="89"/>
      <c r="R38" s="89"/>
      <c r="S38" s="89"/>
      <c r="T38" s="89"/>
      <c r="U38" s="89"/>
      <c r="V38" s="89"/>
      <c r="W38" s="88"/>
      <c r="X38" s="89"/>
      <c r="Y38" s="89"/>
      <c r="Z38" s="89"/>
      <c r="AA38" s="89"/>
      <c r="AB38" s="89"/>
      <c r="AC38" s="89"/>
      <c r="AD38" s="89"/>
      <c r="AE38" s="89"/>
      <c r="AF38" s="89"/>
      <c r="AG38" s="89"/>
      <c r="AH38" s="89"/>
      <c r="AI38" s="85"/>
      <c r="AJ38" s="85"/>
      <c r="AK38" s="85"/>
      <c r="AL38" s="85"/>
      <c r="AM38" s="85"/>
      <c r="AN38" s="85"/>
      <c r="AO38" s="85"/>
      <c r="AP38" s="85"/>
      <c r="AQ38" s="85"/>
      <c r="AR38" s="85"/>
      <c r="AS38" s="85"/>
      <c r="AT38" s="85"/>
      <c r="AU38" s="85"/>
      <c r="AV38" s="85"/>
      <c r="AW38" s="85"/>
      <c r="AX38" s="85"/>
      <c r="AY38" s="85"/>
      <c r="AZ38" s="85"/>
    </row>
    <row r="39" spans="1:52" s="86" customFormat="1" ht="24" customHeight="1" x14ac:dyDescent="0.25">
      <c r="A39" s="2"/>
      <c r="B39" s="2"/>
      <c r="C39" s="2"/>
      <c r="D39" s="2"/>
      <c r="E39" s="2"/>
      <c r="F39" s="2"/>
      <c r="G39" s="2"/>
      <c r="H39" s="2"/>
      <c r="I39" s="2"/>
      <c r="J39" s="2"/>
      <c r="K39" s="2"/>
      <c r="L39" s="89"/>
      <c r="M39" s="89"/>
      <c r="N39" s="89"/>
      <c r="O39" s="89"/>
      <c r="P39" s="89"/>
      <c r="Q39" s="89"/>
      <c r="R39" s="89"/>
      <c r="S39" s="89"/>
      <c r="T39" s="89"/>
      <c r="U39" s="89"/>
      <c r="V39" s="89"/>
      <c r="W39" s="88"/>
      <c r="X39" s="89"/>
      <c r="Y39" s="89"/>
      <c r="Z39" s="89"/>
      <c r="AA39" s="89"/>
      <c r="AB39" s="89"/>
      <c r="AC39" s="89"/>
      <c r="AD39" s="89"/>
      <c r="AE39" s="89"/>
      <c r="AF39" s="89"/>
      <c r="AG39" s="89"/>
      <c r="AH39" s="89"/>
      <c r="AI39" s="85"/>
      <c r="AJ39" s="85"/>
      <c r="AK39" s="85"/>
      <c r="AL39" s="85"/>
      <c r="AM39" s="85"/>
      <c r="AN39" s="85"/>
      <c r="AO39" s="85"/>
      <c r="AP39" s="85"/>
      <c r="AQ39" s="85"/>
      <c r="AR39" s="85"/>
      <c r="AS39" s="85"/>
      <c r="AT39" s="85"/>
      <c r="AU39" s="85"/>
      <c r="AV39" s="85"/>
      <c r="AW39" s="85"/>
      <c r="AX39" s="85"/>
      <c r="AY39" s="85"/>
      <c r="AZ39" s="85"/>
    </row>
    <row r="40" spans="1:52" s="86" customFormat="1" ht="24" customHeight="1" x14ac:dyDescent="0.25">
      <c r="A40" s="2"/>
      <c r="B40" s="2"/>
      <c r="C40" s="2"/>
      <c r="D40" s="2"/>
      <c r="E40" s="2"/>
      <c r="F40" s="2"/>
      <c r="G40" s="2"/>
      <c r="H40" s="2"/>
      <c r="I40" s="2"/>
      <c r="J40" s="2"/>
      <c r="K40" s="2"/>
      <c r="L40" s="89"/>
      <c r="M40" s="89"/>
      <c r="N40" s="89"/>
      <c r="O40" s="89"/>
      <c r="P40" s="89"/>
      <c r="Q40" s="89"/>
      <c r="R40" s="89"/>
      <c r="S40" s="89"/>
      <c r="T40" s="89"/>
      <c r="U40" s="89"/>
      <c r="V40" s="89"/>
      <c r="W40" s="88"/>
      <c r="X40" s="89"/>
      <c r="Y40" s="89"/>
      <c r="Z40" s="89"/>
      <c r="AA40" s="89"/>
      <c r="AB40" s="89"/>
      <c r="AC40" s="89"/>
      <c r="AD40" s="89"/>
      <c r="AE40" s="89"/>
      <c r="AF40" s="89"/>
      <c r="AG40" s="89"/>
      <c r="AH40" s="89"/>
      <c r="AI40" s="85"/>
      <c r="AJ40" s="85"/>
      <c r="AK40" s="85"/>
      <c r="AL40" s="85"/>
      <c r="AM40" s="85"/>
      <c r="AN40" s="85"/>
      <c r="AO40" s="85"/>
      <c r="AP40" s="85"/>
      <c r="AQ40" s="85"/>
      <c r="AR40" s="85"/>
      <c r="AS40" s="85"/>
      <c r="AT40" s="85"/>
      <c r="AU40" s="85"/>
      <c r="AV40" s="85"/>
      <c r="AW40" s="85"/>
      <c r="AX40" s="85"/>
      <c r="AY40" s="85"/>
      <c r="AZ40" s="85"/>
    </row>
    <row r="41" spans="1:52" s="86" customFormat="1" ht="24" customHeight="1" x14ac:dyDescent="0.25">
      <c r="A41" s="2"/>
      <c r="B41" s="2"/>
      <c r="C41" s="2"/>
      <c r="D41" s="2"/>
      <c r="E41" s="2"/>
      <c r="F41" s="2"/>
      <c r="G41" s="2"/>
      <c r="H41" s="2"/>
      <c r="I41" s="2"/>
      <c r="J41" s="2"/>
      <c r="K41" s="2"/>
      <c r="L41" s="89"/>
      <c r="M41" s="89"/>
      <c r="N41" s="89"/>
      <c r="O41" s="89"/>
      <c r="P41" s="89"/>
      <c r="Q41" s="89"/>
      <c r="R41" s="89"/>
      <c r="S41" s="89"/>
      <c r="T41" s="89"/>
      <c r="U41" s="89"/>
      <c r="V41" s="89"/>
      <c r="W41" s="88"/>
      <c r="X41" s="89"/>
      <c r="Y41" s="89"/>
      <c r="Z41" s="89"/>
      <c r="AA41" s="89"/>
      <c r="AB41" s="89"/>
      <c r="AC41" s="89"/>
      <c r="AD41" s="89"/>
      <c r="AE41" s="89"/>
      <c r="AF41" s="89"/>
      <c r="AG41" s="89"/>
      <c r="AH41" s="89"/>
      <c r="AI41" s="85"/>
      <c r="AJ41" s="85"/>
      <c r="AK41" s="85"/>
      <c r="AL41" s="85"/>
      <c r="AM41" s="85"/>
      <c r="AN41" s="85"/>
      <c r="AO41" s="85"/>
      <c r="AP41" s="85"/>
      <c r="AQ41" s="85"/>
      <c r="AR41" s="85"/>
      <c r="AS41" s="85"/>
      <c r="AT41" s="85"/>
      <c r="AU41" s="85"/>
      <c r="AV41" s="85"/>
      <c r="AW41" s="85"/>
      <c r="AX41" s="85"/>
      <c r="AY41" s="85"/>
      <c r="AZ41" s="85"/>
    </row>
    <row r="42" spans="1:52" s="86" customFormat="1" ht="24" customHeight="1" x14ac:dyDescent="0.25">
      <c r="A42" s="2"/>
      <c r="B42" s="2"/>
      <c r="C42" s="2"/>
      <c r="D42" s="2"/>
      <c r="E42" s="2"/>
      <c r="F42" s="2"/>
      <c r="G42" s="2"/>
      <c r="H42" s="2"/>
      <c r="I42" s="2"/>
      <c r="J42" s="2"/>
      <c r="K42" s="2"/>
      <c r="L42" s="89"/>
      <c r="M42" s="89"/>
      <c r="N42" s="89"/>
      <c r="O42" s="89"/>
      <c r="P42" s="89"/>
      <c r="Q42" s="89"/>
      <c r="R42" s="89"/>
      <c r="S42" s="89"/>
      <c r="T42" s="89"/>
      <c r="U42" s="89"/>
      <c r="V42" s="89"/>
      <c r="W42" s="88"/>
      <c r="X42" s="89"/>
      <c r="Y42" s="89"/>
      <c r="Z42" s="89"/>
      <c r="AA42" s="89"/>
      <c r="AB42" s="89"/>
      <c r="AC42" s="89"/>
      <c r="AD42" s="89"/>
      <c r="AE42" s="89"/>
      <c r="AF42" s="89"/>
      <c r="AG42" s="89"/>
      <c r="AH42" s="89"/>
      <c r="AI42" s="85"/>
      <c r="AJ42" s="85"/>
      <c r="AK42" s="85"/>
      <c r="AL42" s="85"/>
      <c r="AM42" s="85"/>
      <c r="AN42" s="85"/>
      <c r="AO42" s="85"/>
      <c r="AP42" s="85"/>
      <c r="AQ42" s="85"/>
      <c r="AR42" s="85"/>
      <c r="AS42" s="85"/>
      <c r="AT42" s="85"/>
      <c r="AU42" s="85"/>
      <c r="AV42" s="85"/>
      <c r="AW42" s="85"/>
      <c r="AX42" s="85"/>
      <c r="AY42" s="85"/>
      <c r="AZ42" s="85"/>
    </row>
    <row r="43" spans="1:52" s="86" customFormat="1" ht="24" customHeight="1" x14ac:dyDescent="0.25">
      <c r="A43" s="2"/>
      <c r="B43" s="2"/>
      <c r="C43" s="2"/>
      <c r="D43" s="2"/>
      <c r="E43" s="2"/>
      <c r="F43" s="2"/>
      <c r="G43" s="2"/>
      <c r="H43" s="2"/>
      <c r="I43" s="2"/>
      <c r="J43" s="2"/>
      <c r="K43" s="2"/>
      <c r="L43" s="89"/>
      <c r="M43" s="89"/>
      <c r="N43" s="89"/>
      <c r="O43" s="89"/>
      <c r="P43" s="89"/>
      <c r="Q43" s="89"/>
      <c r="R43" s="89"/>
      <c r="S43" s="89"/>
      <c r="T43" s="89"/>
      <c r="U43" s="89"/>
      <c r="V43" s="89"/>
      <c r="W43" s="88"/>
      <c r="X43" s="89"/>
      <c r="Y43" s="89"/>
      <c r="Z43" s="89"/>
      <c r="AA43" s="89"/>
      <c r="AB43" s="89"/>
      <c r="AC43" s="89"/>
      <c r="AD43" s="89"/>
      <c r="AE43" s="89"/>
      <c r="AF43" s="89"/>
      <c r="AG43" s="89"/>
      <c r="AH43" s="89"/>
      <c r="AI43" s="85"/>
      <c r="AJ43" s="85"/>
      <c r="AK43" s="85"/>
      <c r="AL43" s="85"/>
      <c r="AM43" s="85"/>
      <c r="AN43" s="85"/>
      <c r="AO43" s="85"/>
      <c r="AP43" s="85"/>
      <c r="AQ43" s="85"/>
      <c r="AR43" s="85"/>
      <c r="AS43" s="85"/>
      <c r="AT43" s="85"/>
      <c r="AU43" s="85"/>
      <c r="AV43" s="85"/>
      <c r="AW43" s="85"/>
      <c r="AX43" s="85"/>
      <c r="AY43" s="85"/>
      <c r="AZ43" s="85"/>
    </row>
    <row r="44" spans="1:52" s="86" customFormat="1" ht="24" customHeight="1" x14ac:dyDescent="0.25">
      <c r="A44" s="2"/>
      <c r="B44" s="2"/>
      <c r="C44" s="2"/>
      <c r="D44" s="2"/>
      <c r="E44" s="2"/>
      <c r="F44" s="2"/>
      <c r="G44" s="2"/>
      <c r="H44" s="2"/>
      <c r="I44" s="2"/>
      <c r="J44" s="2"/>
      <c r="K44" s="2"/>
      <c r="L44" s="89"/>
      <c r="M44" s="89"/>
      <c r="N44" s="89"/>
      <c r="O44" s="89"/>
      <c r="P44" s="89"/>
      <c r="Q44" s="89"/>
      <c r="R44" s="89"/>
      <c r="S44" s="89"/>
      <c r="T44" s="89"/>
      <c r="U44" s="89"/>
      <c r="V44" s="89"/>
      <c r="W44" s="88"/>
      <c r="X44" s="89"/>
      <c r="Y44" s="89"/>
      <c r="Z44" s="89"/>
      <c r="AA44" s="89"/>
      <c r="AB44" s="89"/>
      <c r="AC44" s="89"/>
      <c r="AD44" s="89"/>
      <c r="AE44" s="89"/>
      <c r="AF44" s="89"/>
      <c r="AG44" s="89"/>
      <c r="AH44" s="89"/>
      <c r="AI44" s="85"/>
      <c r="AJ44" s="85"/>
      <c r="AK44" s="85"/>
      <c r="AL44" s="85"/>
      <c r="AM44" s="85"/>
      <c r="AN44" s="85"/>
      <c r="AO44" s="85"/>
      <c r="AP44" s="85"/>
      <c r="AQ44" s="85"/>
      <c r="AR44" s="85"/>
      <c r="AS44" s="85"/>
      <c r="AT44" s="85"/>
      <c r="AU44" s="85"/>
      <c r="AV44" s="85"/>
      <c r="AW44" s="85"/>
      <c r="AX44" s="85"/>
      <c r="AY44" s="85"/>
      <c r="AZ44" s="85"/>
    </row>
    <row r="45" spans="1:52" s="86" customFormat="1" x14ac:dyDescent="0.25">
      <c r="A45" s="2"/>
      <c r="B45" s="2"/>
      <c r="C45" s="2"/>
      <c r="D45" s="2"/>
      <c r="E45" s="2"/>
      <c r="F45" s="2"/>
      <c r="G45" s="2"/>
      <c r="H45" s="2"/>
      <c r="I45" s="2"/>
      <c r="J45" s="2"/>
      <c r="K45" s="2"/>
      <c r="L45" s="89"/>
      <c r="M45" s="89"/>
      <c r="N45" s="89"/>
      <c r="O45" s="89"/>
      <c r="P45" s="89"/>
      <c r="Q45" s="89"/>
      <c r="R45" s="89"/>
      <c r="S45" s="89"/>
      <c r="T45" s="89"/>
      <c r="U45" s="89"/>
      <c r="V45" s="89"/>
      <c r="W45" s="88"/>
      <c r="X45" s="89"/>
      <c r="Y45" s="89"/>
      <c r="Z45" s="89"/>
      <c r="AA45" s="89"/>
      <c r="AB45" s="89"/>
      <c r="AC45" s="89"/>
      <c r="AD45" s="89"/>
      <c r="AE45" s="89"/>
      <c r="AF45" s="89"/>
      <c r="AG45" s="89"/>
      <c r="AH45" s="89"/>
      <c r="AI45" s="85"/>
      <c r="AJ45" s="85"/>
      <c r="AK45" s="85"/>
      <c r="AL45" s="85"/>
      <c r="AM45" s="85"/>
      <c r="AN45" s="85"/>
      <c r="AO45" s="85"/>
      <c r="AP45" s="85"/>
      <c r="AQ45" s="85"/>
      <c r="AR45" s="85"/>
      <c r="AS45" s="85"/>
      <c r="AT45" s="85"/>
      <c r="AU45" s="85"/>
      <c r="AV45" s="85"/>
      <c r="AW45" s="85"/>
      <c r="AX45" s="85"/>
      <c r="AY45" s="85"/>
      <c r="AZ45" s="85"/>
    </row>
    <row r="46" spans="1:52" s="86" customFormat="1" ht="27.75" customHeight="1" x14ac:dyDescent="0.25">
      <c r="A46" s="2"/>
      <c r="B46" s="2"/>
      <c r="C46" s="2"/>
      <c r="D46" s="2"/>
      <c r="E46" s="2"/>
      <c r="F46" s="2"/>
      <c r="G46" s="2"/>
      <c r="H46" s="2"/>
      <c r="I46" s="2"/>
      <c r="J46" s="2"/>
      <c r="K46" s="2"/>
      <c r="L46" s="89"/>
      <c r="M46" s="89"/>
      <c r="N46" s="89"/>
      <c r="O46" s="89"/>
      <c r="P46" s="89"/>
      <c r="Q46" s="89"/>
      <c r="R46" s="89"/>
      <c r="S46" s="89"/>
      <c r="T46" s="89"/>
      <c r="U46" s="89"/>
      <c r="V46" s="89"/>
      <c r="W46" s="88"/>
      <c r="X46" s="89"/>
      <c r="Y46" s="89"/>
      <c r="Z46" s="89"/>
      <c r="AA46" s="89"/>
      <c r="AB46" s="89"/>
      <c r="AC46" s="89"/>
      <c r="AD46" s="89"/>
      <c r="AE46" s="89"/>
      <c r="AF46" s="89"/>
      <c r="AG46" s="89"/>
      <c r="AH46" s="89"/>
      <c r="AI46" s="85"/>
      <c r="AJ46" s="85"/>
      <c r="AK46" s="85"/>
      <c r="AL46" s="85"/>
      <c r="AM46" s="85"/>
      <c r="AN46" s="85"/>
      <c r="AO46" s="85"/>
      <c r="AP46" s="85"/>
      <c r="AQ46" s="85"/>
      <c r="AR46" s="85"/>
      <c r="AS46" s="85"/>
      <c r="AT46" s="85"/>
      <c r="AU46" s="85"/>
      <c r="AV46" s="85"/>
      <c r="AW46" s="85"/>
      <c r="AX46" s="85"/>
      <c r="AY46" s="85"/>
      <c r="AZ46" s="85"/>
    </row>
    <row r="47" spans="1:52" s="85" customFormat="1" ht="18.75" customHeight="1" x14ac:dyDescent="0.25">
      <c r="A47" s="87"/>
      <c r="B47" s="87"/>
      <c r="C47" s="87"/>
      <c r="D47" s="87"/>
      <c r="E47" s="87"/>
      <c r="F47" s="87"/>
      <c r="G47" s="87"/>
      <c r="H47" s="87"/>
      <c r="I47" s="87"/>
      <c r="J47" s="87"/>
      <c r="K47" s="87"/>
      <c r="L47" s="89"/>
      <c r="M47" s="89"/>
      <c r="N47" s="89"/>
      <c r="O47" s="89"/>
      <c r="P47" s="89"/>
      <c r="Q47" s="89"/>
      <c r="R47" s="89"/>
      <c r="S47" s="89"/>
      <c r="T47" s="89"/>
      <c r="U47" s="89"/>
      <c r="V47" s="89"/>
      <c r="W47" s="88"/>
      <c r="X47" s="89"/>
      <c r="Y47" s="89"/>
      <c r="Z47" s="89"/>
      <c r="AA47" s="89"/>
      <c r="AB47" s="89"/>
      <c r="AC47" s="89"/>
      <c r="AD47" s="89"/>
      <c r="AE47" s="89"/>
      <c r="AF47" s="89"/>
      <c r="AG47" s="89"/>
      <c r="AH47" s="89"/>
    </row>
    <row r="48" spans="1:52" s="85" customFormat="1" x14ac:dyDescent="0.25">
      <c r="A48" s="87"/>
      <c r="B48" s="87"/>
      <c r="C48" s="87"/>
      <c r="D48" s="87"/>
      <c r="E48" s="87"/>
      <c r="F48" s="87"/>
      <c r="G48" s="87"/>
      <c r="H48" s="87"/>
      <c r="I48" s="87"/>
      <c r="J48" s="87"/>
      <c r="K48" s="87"/>
      <c r="L48" s="89"/>
      <c r="M48" s="89"/>
      <c r="N48" s="89"/>
      <c r="O48" s="89"/>
      <c r="P48" s="89"/>
      <c r="Q48" s="89"/>
      <c r="R48" s="89"/>
      <c r="S48" s="89"/>
      <c r="T48" s="89"/>
      <c r="U48" s="89"/>
      <c r="V48" s="89"/>
      <c r="W48" s="88"/>
      <c r="X48" s="89"/>
      <c r="Y48" s="89"/>
      <c r="Z48" s="89"/>
      <c r="AA48" s="89"/>
      <c r="AB48" s="89"/>
      <c r="AC48" s="89"/>
      <c r="AD48" s="89"/>
      <c r="AE48" s="89"/>
      <c r="AF48" s="89"/>
      <c r="AG48" s="89"/>
      <c r="AH48" s="89"/>
    </row>
    <row r="49" spans="1:34" s="85" customFormat="1" x14ac:dyDescent="0.25">
      <c r="A49" s="89"/>
      <c r="B49" s="89"/>
      <c r="C49" s="89"/>
      <c r="D49" s="89"/>
      <c r="E49" s="89"/>
      <c r="F49" s="89"/>
      <c r="G49" s="89"/>
      <c r="H49" s="89"/>
      <c r="I49" s="89"/>
      <c r="J49" s="89"/>
      <c r="K49" s="89"/>
      <c r="L49" s="89"/>
      <c r="M49" s="89"/>
      <c r="N49" s="89"/>
      <c r="O49" s="89"/>
      <c r="P49" s="89"/>
      <c r="Q49" s="89"/>
      <c r="R49" s="89"/>
      <c r="S49" s="89"/>
      <c r="T49" s="89"/>
      <c r="U49" s="89"/>
      <c r="V49" s="89"/>
      <c r="W49" s="88"/>
      <c r="X49" s="89"/>
      <c r="Y49" s="89"/>
      <c r="Z49" s="89"/>
      <c r="AA49" s="89"/>
      <c r="AB49" s="89"/>
      <c r="AC49" s="89"/>
      <c r="AD49" s="89"/>
      <c r="AE49" s="89"/>
      <c r="AF49" s="89"/>
      <c r="AG49" s="89"/>
      <c r="AH49" s="89"/>
    </row>
    <row r="50" spans="1:34" s="85" customFormat="1" x14ac:dyDescent="0.25">
      <c r="A50" s="89"/>
      <c r="B50" s="89"/>
      <c r="C50" s="89"/>
      <c r="D50" s="89"/>
      <c r="E50" s="89"/>
      <c r="F50" s="89"/>
      <c r="G50" s="89"/>
      <c r="H50" s="89"/>
      <c r="I50" s="89"/>
      <c r="J50" s="89"/>
      <c r="K50" s="89"/>
      <c r="L50" s="89"/>
      <c r="M50" s="89"/>
      <c r="N50" s="89"/>
      <c r="O50" s="89"/>
      <c r="P50" s="89"/>
      <c r="Q50" s="89"/>
      <c r="R50" s="89"/>
      <c r="S50" s="89"/>
      <c r="T50" s="89"/>
      <c r="U50" s="89"/>
      <c r="V50" s="89"/>
      <c r="W50" s="88"/>
      <c r="X50" s="89"/>
      <c r="Y50" s="89"/>
      <c r="Z50" s="89"/>
      <c r="AA50" s="89"/>
      <c r="AB50" s="89"/>
      <c r="AC50" s="89"/>
      <c r="AD50" s="89"/>
      <c r="AE50" s="89"/>
      <c r="AF50" s="89"/>
      <c r="AG50" s="89"/>
      <c r="AH50" s="89"/>
    </row>
    <row r="51" spans="1:34" s="85" customFormat="1" x14ac:dyDescent="0.25">
      <c r="A51" s="89"/>
      <c r="B51" s="89"/>
      <c r="C51" s="89"/>
      <c r="D51" s="89"/>
      <c r="E51" s="89"/>
      <c r="F51" s="89"/>
      <c r="G51" s="89"/>
      <c r="H51" s="89"/>
      <c r="I51" s="89"/>
      <c r="J51" s="89"/>
      <c r="K51" s="89"/>
      <c r="L51" s="89"/>
      <c r="M51" s="89"/>
      <c r="N51" s="89"/>
      <c r="O51" s="89"/>
      <c r="P51" s="89"/>
      <c r="Q51" s="89"/>
      <c r="R51" s="89"/>
      <c r="S51" s="89"/>
      <c r="T51" s="89"/>
      <c r="U51" s="89"/>
      <c r="V51" s="89"/>
      <c r="W51" s="88"/>
      <c r="X51" s="89"/>
      <c r="Y51" s="89"/>
      <c r="Z51" s="89"/>
      <c r="AA51" s="89"/>
      <c r="AB51" s="89"/>
      <c r="AC51" s="89"/>
      <c r="AD51" s="89"/>
      <c r="AE51" s="89"/>
      <c r="AF51" s="89"/>
      <c r="AG51" s="89"/>
      <c r="AH51" s="89"/>
    </row>
    <row r="52" spans="1:34" s="85" customFormat="1" x14ac:dyDescent="0.25">
      <c r="A52" s="89"/>
      <c r="B52" s="89"/>
      <c r="C52" s="89"/>
      <c r="D52" s="89"/>
      <c r="E52" s="89"/>
      <c r="F52" s="89"/>
      <c r="G52" s="89"/>
      <c r="H52" s="89"/>
      <c r="I52" s="89"/>
      <c r="J52" s="89"/>
      <c r="K52" s="89"/>
      <c r="L52" s="89"/>
      <c r="M52" s="89"/>
      <c r="N52" s="89"/>
      <c r="O52" s="89"/>
      <c r="P52" s="89"/>
      <c r="Q52" s="89"/>
      <c r="R52" s="89"/>
      <c r="S52" s="89"/>
      <c r="T52" s="89"/>
      <c r="U52" s="89"/>
      <c r="V52" s="89"/>
      <c r="W52" s="88"/>
      <c r="X52" s="89"/>
      <c r="Y52" s="89"/>
      <c r="Z52" s="89"/>
      <c r="AA52" s="89"/>
      <c r="AB52" s="89"/>
      <c r="AC52" s="89"/>
      <c r="AD52" s="89"/>
      <c r="AE52" s="89"/>
      <c r="AF52" s="89"/>
      <c r="AG52" s="89"/>
      <c r="AH52" s="89"/>
    </row>
    <row r="53" spans="1:34" s="85" customFormat="1" x14ac:dyDescent="0.25">
      <c r="A53" s="89"/>
      <c r="B53" s="89"/>
      <c r="C53" s="89"/>
      <c r="D53" s="89"/>
      <c r="E53" s="89"/>
      <c r="F53" s="89"/>
      <c r="G53" s="89"/>
      <c r="H53" s="89"/>
      <c r="I53" s="89"/>
      <c r="J53" s="89"/>
      <c r="K53" s="89"/>
      <c r="L53" s="89"/>
      <c r="M53" s="89"/>
      <c r="N53" s="89"/>
      <c r="O53" s="89"/>
      <c r="P53" s="89"/>
      <c r="Q53" s="89"/>
      <c r="R53" s="89"/>
      <c r="S53" s="89"/>
      <c r="T53" s="89"/>
      <c r="U53" s="89"/>
      <c r="V53" s="89"/>
      <c r="W53" s="88"/>
      <c r="X53" s="89"/>
      <c r="Y53" s="89"/>
      <c r="Z53" s="89"/>
      <c r="AA53" s="89"/>
      <c r="AB53" s="89"/>
      <c r="AC53" s="89"/>
      <c r="AD53" s="89"/>
      <c r="AE53" s="89"/>
      <c r="AF53" s="89"/>
      <c r="AG53" s="89"/>
      <c r="AH53" s="89"/>
    </row>
    <row r="54" spans="1:34" s="85" customFormat="1" x14ac:dyDescent="0.25">
      <c r="A54" s="89"/>
      <c r="B54" s="89"/>
      <c r="C54" s="89"/>
      <c r="D54" s="89"/>
      <c r="E54" s="89"/>
      <c r="F54" s="89"/>
      <c r="G54" s="89"/>
      <c r="H54" s="89"/>
      <c r="I54" s="89"/>
      <c r="J54" s="89"/>
      <c r="K54" s="89"/>
      <c r="L54" s="89"/>
      <c r="M54" s="89"/>
      <c r="N54" s="89"/>
      <c r="O54" s="89"/>
      <c r="P54" s="89"/>
      <c r="Q54" s="89"/>
      <c r="R54" s="89"/>
      <c r="S54" s="89"/>
      <c r="T54" s="89"/>
      <c r="U54" s="89"/>
      <c r="V54" s="89"/>
      <c r="W54" s="88"/>
      <c r="X54" s="89"/>
      <c r="Y54" s="89"/>
      <c r="Z54" s="89"/>
      <c r="AA54" s="89"/>
      <c r="AB54" s="89"/>
      <c r="AC54" s="89"/>
      <c r="AD54" s="89"/>
      <c r="AE54" s="89"/>
      <c r="AF54" s="89"/>
      <c r="AG54" s="89"/>
      <c r="AH54" s="89"/>
    </row>
    <row r="55" spans="1:34" s="85" customFormat="1" x14ac:dyDescent="0.25">
      <c r="A55" s="89"/>
      <c r="B55" s="89"/>
      <c r="C55" s="89"/>
      <c r="D55" s="89"/>
      <c r="E55" s="89"/>
      <c r="F55" s="89"/>
      <c r="G55" s="89"/>
      <c r="H55" s="89"/>
      <c r="I55" s="89"/>
      <c r="J55" s="89"/>
      <c r="K55" s="89"/>
      <c r="L55" s="89"/>
      <c r="M55" s="89"/>
      <c r="N55" s="89"/>
      <c r="O55" s="89"/>
      <c r="P55" s="89"/>
      <c r="Q55" s="89"/>
      <c r="R55" s="89"/>
      <c r="S55" s="89"/>
      <c r="T55" s="89"/>
      <c r="U55" s="89"/>
      <c r="V55" s="89"/>
      <c r="W55" s="88"/>
      <c r="X55" s="89"/>
      <c r="Y55" s="89"/>
      <c r="Z55" s="89"/>
      <c r="AA55" s="89"/>
      <c r="AB55" s="89"/>
      <c r="AC55" s="89"/>
      <c r="AD55" s="89"/>
      <c r="AE55" s="89"/>
      <c r="AF55" s="89"/>
      <c r="AG55" s="89"/>
      <c r="AH55" s="89"/>
    </row>
    <row r="56" spans="1:34" s="85" customFormat="1" x14ac:dyDescent="0.25">
      <c r="A56" s="89"/>
      <c r="B56" s="89"/>
      <c r="C56" s="89"/>
      <c r="D56" s="89"/>
      <c r="E56" s="89"/>
      <c r="F56" s="89"/>
      <c r="G56" s="89"/>
      <c r="H56" s="89"/>
      <c r="I56" s="89"/>
      <c r="J56" s="89"/>
      <c r="K56" s="89"/>
      <c r="L56" s="89"/>
      <c r="M56" s="89"/>
      <c r="N56" s="89"/>
      <c r="O56" s="89"/>
      <c r="P56" s="89"/>
      <c r="Q56" s="89"/>
      <c r="R56" s="89"/>
      <c r="S56" s="89"/>
      <c r="T56" s="89"/>
      <c r="U56" s="89"/>
      <c r="V56" s="89"/>
      <c r="W56" s="88"/>
      <c r="X56" s="89"/>
      <c r="Y56" s="89"/>
      <c r="Z56" s="89"/>
      <c r="AA56" s="89"/>
      <c r="AB56" s="89"/>
      <c r="AC56" s="89"/>
      <c r="AD56" s="89"/>
      <c r="AE56" s="89"/>
      <c r="AF56" s="89"/>
      <c r="AG56" s="89"/>
      <c r="AH56" s="89"/>
    </row>
    <row r="57" spans="1:34" s="85" customFormat="1" x14ac:dyDescent="0.25">
      <c r="A57" s="89"/>
      <c r="B57" s="89"/>
      <c r="C57" s="89"/>
      <c r="D57" s="89"/>
      <c r="E57" s="89"/>
      <c r="F57" s="89"/>
      <c r="G57" s="89"/>
      <c r="H57" s="89"/>
      <c r="I57" s="89"/>
      <c r="J57" s="89"/>
      <c r="K57" s="89"/>
      <c r="L57" s="89"/>
      <c r="M57" s="89"/>
      <c r="N57" s="89"/>
      <c r="O57" s="89"/>
      <c r="P57" s="89"/>
      <c r="Q57" s="89"/>
      <c r="R57" s="89"/>
      <c r="S57" s="89"/>
      <c r="T57" s="89"/>
      <c r="U57" s="89"/>
      <c r="V57" s="89"/>
      <c r="W57" s="88"/>
      <c r="X57" s="89"/>
      <c r="Y57" s="89"/>
      <c r="Z57" s="89"/>
      <c r="AA57" s="89"/>
      <c r="AB57" s="89"/>
      <c r="AC57" s="89"/>
      <c r="AD57" s="89"/>
      <c r="AE57" s="89"/>
      <c r="AF57" s="89"/>
      <c r="AG57" s="89"/>
      <c r="AH57" s="89"/>
    </row>
    <row r="58" spans="1:34" s="85" customFormat="1" x14ac:dyDescent="0.25">
      <c r="L58" s="89"/>
      <c r="M58" s="89"/>
      <c r="N58" s="89"/>
      <c r="O58" s="89"/>
      <c r="P58" s="89"/>
      <c r="Q58" s="89"/>
      <c r="R58" s="89"/>
      <c r="S58" s="89"/>
      <c r="T58" s="89"/>
      <c r="U58" s="89"/>
      <c r="V58" s="89"/>
      <c r="W58" s="88"/>
      <c r="X58" s="89"/>
      <c r="Y58" s="89"/>
      <c r="Z58" s="89"/>
      <c r="AA58" s="89"/>
      <c r="AB58" s="89"/>
      <c r="AC58" s="89"/>
      <c r="AD58" s="89"/>
      <c r="AE58" s="89"/>
      <c r="AF58" s="89"/>
      <c r="AG58" s="89"/>
      <c r="AH58" s="89"/>
    </row>
    <row r="59" spans="1:34" s="85" customFormat="1" hidden="1" x14ac:dyDescent="0.25">
      <c r="L59" s="89"/>
      <c r="M59" s="89"/>
      <c r="N59" s="89"/>
      <c r="O59" s="89"/>
      <c r="P59" s="89"/>
      <c r="Q59" s="89"/>
      <c r="R59" s="89"/>
      <c r="S59" s="89"/>
      <c r="T59" s="89"/>
      <c r="U59" s="89"/>
      <c r="V59" s="89"/>
      <c r="W59" s="88"/>
      <c r="X59" s="89"/>
      <c r="Y59" s="89"/>
      <c r="Z59" s="89"/>
      <c r="AA59" s="89"/>
      <c r="AB59" s="89"/>
      <c r="AC59" s="89"/>
      <c r="AD59" s="89"/>
      <c r="AE59" s="89"/>
      <c r="AF59" s="89"/>
      <c r="AG59" s="89"/>
      <c r="AH59" s="89"/>
    </row>
    <row r="60" spans="1:34" s="85" customFormat="1" x14ac:dyDescent="0.25">
      <c r="L60" s="89"/>
      <c r="M60" s="89"/>
      <c r="N60" s="89"/>
      <c r="O60" s="89"/>
      <c r="P60" s="89"/>
      <c r="Q60" s="89"/>
      <c r="R60" s="89"/>
      <c r="S60" s="89"/>
      <c r="T60" s="89"/>
      <c r="U60" s="89"/>
      <c r="V60" s="89"/>
      <c r="W60" s="88"/>
      <c r="X60" s="89"/>
      <c r="Y60" s="89"/>
      <c r="Z60" s="89"/>
      <c r="AA60" s="89"/>
      <c r="AB60" s="89"/>
      <c r="AC60" s="89"/>
      <c r="AD60" s="89"/>
      <c r="AE60" s="89"/>
      <c r="AF60" s="89"/>
      <c r="AG60" s="89"/>
      <c r="AH60" s="89"/>
    </row>
    <row r="61" spans="1:34" s="85" customFormat="1" x14ac:dyDescent="0.25">
      <c r="L61" s="89"/>
      <c r="M61" s="89"/>
      <c r="N61" s="89"/>
      <c r="O61" s="89"/>
      <c r="P61" s="89"/>
      <c r="Q61" s="89"/>
      <c r="R61" s="89"/>
      <c r="S61" s="89"/>
      <c r="T61" s="89"/>
      <c r="U61" s="89"/>
      <c r="V61" s="89"/>
      <c r="W61" s="88"/>
      <c r="X61" s="89"/>
      <c r="Y61" s="89"/>
      <c r="Z61" s="89"/>
      <c r="AA61" s="89"/>
      <c r="AB61" s="89"/>
      <c r="AC61" s="89"/>
      <c r="AD61" s="89"/>
      <c r="AE61" s="89"/>
      <c r="AF61" s="89"/>
      <c r="AG61" s="89"/>
      <c r="AH61" s="89"/>
    </row>
    <row r="62" spans="1:34" s="85" customFormat="1" x14ac:dyDescent="0.25">
      <c r="L62" s="89"/>
      <c r="M62" s="89"/>
      <c r="N62" s="89"/>
      <c r="O62" s="89"/>
      <c r="P62" s="89"/>
      <c r="Q62" s="89"/>
      <c r="R62" s="89"/>
      <c r="S62" s="89"/>
      <c r="T62" s="89"/>
      <c r="U62" s="89"/>
      <c r="V62" s="89"/>
      <c r="W62" s="88"/>
      <c r="X62" s="89"/>
      <c r="Y62" s="89"/>
      <c r="Z62" s="89"/>
      <c r="AA62" s="89"/>
      <c r="AB62" s="89"/>
      <c r="AC62" s="89"/>
      <c r="AD62" s="89"/>
      <c r="AE62" s="89"/>
      <c r="AF62" s="89"/>
      <c r="AG62" s="89"/>
      <c r="AH62" s="89"/>
    </row>
    <row r="63" spans="1:34" s="85" customFormat="1" x14ac:dyDescent="0.25">
      <c r="L63" s="89"/>
      <c r="M63" s="89"/>
      <c r="N63" s="89"/>
      <c r="O63" s="89"/>
      <c r="P63" s="89"/>
      <c r="Q63" s="89"/>
      <c r="R63" s="89"/>
      <c r="S63" s="89"/>
      <c r="T63" s="89"/>
      <c r="U63" s="89"/>
      <c r="V63" s="89"/>
      <c r="W63" s="88"/>
      <c r="X63" s="89"/>
      <c r="Y63" s="89"/>
      <c r="Z63" s="89"/>
      <c r="AA63" s="89"/>
      <c r="AB63" s="89"/>
      <c r="AC63" s="89"/>
      <c r="AD63" s="89"/>
      <c r="AE63" s="89"/>
      <c r="AF63" s="89"/>
      <c r="AG63" s="89"/>
      <c r="AH63" s="89"/>
    </row>
    <row r="64" spans="1:34" s="85" customFormat="1" x14ac:dyDescent="0.25">
      <c r="L64" s="89"/>
      <c r="M64" s="89"/>
      <c r="N64" s="89"/>
      <c r="O64" s="89"/>
      <c r="P64" s="89"/>
      <c r="Q64" s="89"/>
      <c r="R64" s="89"/>
      <c r="S64" s="89"/>
      <c r="T64" s="89"/>
      <c r="U64" s="89"/>
      <c r="V64" s="89"/>
      <c r="W64" s="88"/>
      <c r="X64" s="89"/>
      <c r="Y64" s="89"/>
      <c r="Z64" s="89"/>
      <c r="AA64" s="89"/>
      <c r="AB64" s="89"/>
      <c r="AC64" s="89"/>
      <c r="AD64" s="89"/>
      <c r="AE64" s="89"/>
      <c r="AF64" s="89"/>
      <c r="AG64" s="89"/>
      <c r="AH64" s="89"/>
    </row>
    <row r="65" spans="12:34" s="85" customFormat="1" x14ac:dyDescent="0.25">
      <c r="L65" s="89"/>
      <c r="M65" s="89"/>
      <c r="N65" s="89"/>
      <c r="O65" s="89"/>
      <c r="P65" s="89"/>
      <c r="Q65" s="89"/>
      <c r="R65" s="89"/>
      <c r="S65" s="89"/>
      <c r="T65" s="89"/>
      <c r="U65" s="89"/>
      <c r="V65" s="89"/>
      <c r="W65" s="88"/>
      <c r="X65" s="89"/>
      <c r="Y65" s="89"/>
      <c r="Z65" s="89"/>
      <c r="AA65" s="89"/>
      <c r="AB65" s="89"/>
      <c r="AC65" s="89"/>
      <c r="AD65" s="89"/>
      <c r="AE65" s="89"/>
      <c r="AF65" s="89"/>
      <c r="AG65" s="89"/>
      <c r="AH65" s="89"/>
    </row>
    <row r="66" spans="12:34" s="85" customFormat="1" x14ac:dyDescent="0.25">
      <c r="L66" s="89"/>
      <c r="M66" s="89"/>
      <c r="N66" s="89"/>
      <c r="O66" s="89"/>
      <c r="P66" s="89"/>
      <c r="Q66" s="89"/>
      <c r="R66" s="89"/>
      <c r="S66" s="89"/>
      <c r="T66" s="89"/>
      <c r="U66" s="89"/>
      <c r="V66" s="89"/>
      <c r="W66" s="88"/>
      <c r="X66" s="89"/>
      <c r="Y66" s="89"/>
      <c r="Z66" s="89"/>
      <c r="AA66" s="89"/>
      <c r="AB66" s="89"/>
      <c r="AC66" s="89"/>
      <c r="AD66" s="89"/>
      <c r="AE66" s="89"/>
      <c r="AF66" s="89"/>
      <c r="AG66" s="89"/>
      <c r="AH66" s="89"/>
    </row>
    <row r="67" spans="12:34" s="85" customFormat="1" x14ac:dyDescent="0.25">
      <c r="L67" s="89"/>
      <c r="M67" s="89"/>
      <c r="N67" s="89"/>
      <c r="O67" s="89"/>
      <c r="P67" s="89"/>
      <c r="Q67" s="89"/>
      <c r="R67" s="89"/>
      <c r="S67" s="89"/>
      <c r="T67" s="89"/>
      <c r="U67" s="89"/>
      <c r="V67" s="89"/>
      <c r="W67" s="88"/>
      <c r="X67" s="89"/>
      <c r="Y67" s="89"/>
      <c r="Z67" s="89"/>
      <c r="AA67" s="89"/>
      <c r="AB67" s="89"/>
      <c r="AC67" s="89"/>
      <c r="AD67" s="89"/>
      <c r="AE67" s="89"/>
      <c r="AF67" s="89"/>
      <c r="AG67" s="89"/>
      <c r="AH67" s="89"/>
    </row>
    <row r="68" spans="12:34" s="85" customFormat="1" x14ac:dyDescent="0.25">
      <c r="L68" s="89"/>
      <c r="M68" s="89"/>
      <c r="N68" s="89"/>
      <c r="O68" s="89"/>
      <c r="P68" s="89"/>
      <c r="Q68" s="89"/>
      <c r="R68" s="89"/>
      <c r="S68" s="89"/>
      <c r="T68" s="89"/>
      <c r="U68" s="89"/>
      <c r="V68" s="89"/>
      <c r="W68" s="88"/>
      <c r="X68" s="89"/>
      <c r="Y68" s="89"/>
      <c r="Z68" s="89"/>
      <c r="AA68" s="89"/>
      <c r="AB68" s="89"/>
      <c r="AC68" s="89"/>
      <c r="AD68" s="89"/>
      <c r="AE68" s="89"/>
      <c r="AF68" s="89"/>
      <c r="AG68" s="89"/>
      <c r="AH68" s="89"/>
    </row>
    <row r="69" spans="12:34" s="85" customFormat="1" x14ac:dyDescent="0.25">
      <c r="L69" s="89"/>
      <c r="M69" s="89"/>
      <c r="N69" s="89"/>
      <c r="O69" s="89"/>
      <c r="P69" s="89"/>
      <c r="Q69" s="89"/>
      <c r="R69" s="89"/>
      <c r="S69" s="89"/>
      <c r="T69" s="89"/>
      <c r="U69" s="89"/>
      <c r="V69" s="89"/>
      <c r="W69" s="88"/>
      <c r="X69" s="89"/>
      <c r="Y69" s="89"/>
      <c r="Z69" s="89"/>
      <c r="AA69" s="89"/>
      <c r="AB69" s="89"/>
      <c r="AC69" s="89"/>
      <c r="AD69" s="89"/>
      <c r="AE69" s="89"/>
      <c r="AF69" s="89"/>
      <c r="AG69" s="89"/>
      <c r="AH69" s="89"/>
    </row>
    <row r="70" spans="12:34" s="85" customFormat="1" x14ac:dyDescent="0.25">
      <c r="L70" s="89"/>
      <c r="M70" s="89"/>
      <c r="N70" s="89"/>
      <c r="O70" s="89"/>
      <c r="P70" s="89"/>
      <c r="Q70" s="89"/>
      <c r="R70" s="89"/>
      <c r="S70" s="89"/>
      <c r="T70" s="89"/>
      <c r="U70" s="89"/>
      <c r="V70" s="89"/>
      <c r="W70" s="88"/>
      <c r="X70" s="89"/>
      <c r="Y70" s="89"/>
      <c r="Z70" s="89"/>
      <c r="AA70" s="89"/>
      <c r="AB70" s="89"/>
      <c r="AC70" s="89"/>
      <c r="AD70" s="89"/>
      <c r="AE70" s="89"/>
      <c r="AF70" s="89"/>
      <c r="AG70" s="89"/>
      <c r="AH70" s="89"/>
    </row>
    <row r="71" spans="12:34" s="85" customFormat="1" x14ac:dyDescent="0.25">
      <c r="L71" s="89"/>
      <c r="M71" s="89"/>
      <c r="N71" s="89"/>
      <c r="O71" s="89"/>
      <c r="P71" s="89"/>
      <c r="Q71" s="89"/>
      <c r="R71" s="89"/>
      <c r="S71" s="89"/>
      <c r="T71" s="89"/>
      <c r="U71" s="89"/>
      <c r="V71" s="89"/>
      <c r="W71" s="88"/>
      <c r="X71" s="89"/>
      <c r="Y71" s="89"/>
      <c r="Z71" s="89"/>
      <c r="AA71" s="89"/>
      <c r="AB71" s="89"/>
      <c r="AC71" s="89"/>
      <c r="AD71" s="89"/>
      <c r="AE71" s="89"/>
      <c r="AF71" s="89"/>
      <c r="AG71" s="89"/>
      <c r="AH71" s="89"/>
    </row>
    <row r="72" spans="12:34" s="85" customFormat="1" x14ac:dyDescent="0.25">
      <c r="L72" s="89"/>
      <c r="M72" s="89"/>
      <c r="N72" s="89"/>
      <c r="O72" s="89"/>
      <c r="P72" s="89"/>
      <c r="Q72" s="89"/>
      <c r="R72" s="89"/>
      <c r="S72" s="89"/>
      <c r="T72" s="89"/>
      <c r="U72" s="89"/>
      <c r="V72" s="89"/>
      <c r="W72" s="88"/>
      <c r="X72" s="89"/>
      <c r="Y72" s="89"/>
      <c r="Z72" s="89"/>
      <c r="AA72" s="89"/>
      <c r="AB72" s="89"/>
      <c r="AC72" s="89"/>
      <c r="AD72" s="89"/>
      <c r="AE72" s="89"/>
      <c r="AF72" s="89"/>
      <c r="AG72" s="89"/>
      <c r="AH72" s="89"/>
    </row>
    <row r="73" spans="12:34" s="85" customFormat="1" x14ac:dyDescent="0.25">
      <c r="L73" s="89"/>
      <c r="M73" s="89"/>
      <c r="N73" s="89"/>
      <c r="O73" s="89"/>
      <c r="P73" s="89"/>
      <c r="Q73" s="89"/>
      <c r="R73" s="89"/>
      <c r="S73" s="89"/>
      <c r="T73" s="89"/>
      <c r="U73" s="89"/>
      <c r="V73" s="89"/>
      <c r="W73" s="88"/>
      <c r="X73" s="89"/>
      <c r="Y73" s="89"/>
      <c r="Z73" s="89"/>
      <c r="AA73" s="89"/>
      <c r="AB73" s="89"/>
      <c r="AC73" s="89"/>
      <c r="AD73" s="89"/>
      <c r="AE73" s="89"/>
      <c r="AF73" s="89"/>
      <c r="AG73" s="89"/>
      <c r="AH73" s="89"/>
    </row>
    <row r="74" spans="12:34" s="85" customFormat="1" x14ac:dyDescent="0.25">
      <c r="L74" s="89"/>
      <c r="M74" s="89"/>
      <c r="N74" s="89"/>
      <c r="O74" s="89"/>
      <c r="P74" s="89"/>
      <c r="Q74" s="89"/>
      <c r="R74" s="89"/>
      <c r="S74" s="89"/>
      <c r="T74" s="89"/>
      <c r="U74" s="89"/>
      <c r="V74" s="89"/>
      <c r="W74" s="88"/>
      <c r="X74" s="89"/>
      <c r="Y74" s="89"/>
      <c r="Z74" s="89"/>
      <c r="AA74" s="89"/>
      <c r="AB74" s="89"/>
      <c r="AC74" s="89"/>
      <c r="AD74" s="89"/>
      <c r="AE74" s="89"/>
      <c r="AF74" s="89"/>
      <c r="AG74" s="89"/>
      <c r="AH74" s="89"/>
    </row>
    <row r="75" spans="12:34" s="85" customFormat="1" x14ac:dyDescent="0.25">
      <c r="L75" s="89"/>
      <c r="M75" s="89"/>
      <c r="N75" s="89"/>
      <c r="O75" s="89"/>
      <c r="P75" s="89"/>
      <c r="Q75" s="89"/>
      <c r="R75" s="89"/>
      <c r="S75" s="89"/>
      <c r="T75" s="89"/>
      <c r="U75" s="89"/>
      <c r="V75" s="89"/>
      <c r="W75" s="88"/>
      <c r="X75" s="89"/>
      <c r="Y75" s="89"/>
      <c r="Z75" s="89"/>
      <c r="AA75" s="89"/>
      <c r="AB75" s="89"/>
      <c r="AC75" s="89"/>
      <c r="AD75" s="89"/>
      <c r="AE75" s="89"/>
      <c r="AF75" s="89"/>
      <c r="AG75" s="89"/>
      <c r="AH75" s="89"/>
    </row>
    <row r="76" spans="12:34" s="85" customFormat="1" x14ac:dyDescent="0.25">
      <c r="L76" s="89"/>
      <c r="M76" s="89"/>
      <c r="N76" s="89"/>
      <c r="O76" s="89"/>
      <c r="P76" s="89"/>
      <c r="Q76" s="89"/>
      <c r="R76" s="89"/>
      <c r="S76" s="89"/>
      <c r="T76" s="89"/>
      <c r="U76" s="89"/>
      <c r="V76" s="89"/>
      <c r="W76" s="88"/>
      <c r="X76" s="89"/>
      <c r="Y76" s="89"/>
      <c r="Z76" s="89"/>
      <c r="AA76" s="89"/>
      <c r="AB76" s="89"/>
      <c r="AC76" s="89"/>
      <c r="AD76" s="89"/>
      <c r="AE76" s="89"/>
      <c r="AF76" s="89"/>
      <c r="AG76" s="89"/>
      <c r="AH76" s="89"/>
    </row>
    <row r="77" spans="12:34" s="85" customFormat="1" x14ac:dyDescent="0.25">
      <c r="L77" s="89"/>
      <c r="M77" s="89"/>
      <c r="N77" s="89"/>
      <c r="O77" s="89"/>
      <c r="P77" s="89"/>
      <c r="Q77" s="89"/>
      <c r="R77" s="89"/>
      <c r="S77" s="89"/>
      <c r="T77" s="89"/>
      <c r="U77" s="89"/>
      <c r="V77" s="89"/>
      <c r="W77" s="88"/>
      <c r="X77" s="89"/>
      <c r="Y77" s="89"/>
      <c r="Z77" s="89"/>
      <c r="AA77" s="89"/>
      <c r="AB77" s="89"/>
      <c r="AC77" s="89"/>
      <c r="AD77" s="89"/>
      <c r="AE77" s="89"/>
      <c r="AF77" s="89"/>
      <c r="AG77" s="89"/>
      <c r="AH77" s="89"/>
    </row>
    <row r="78" spans="12:34" s="85" customFormat="1" x14ac:dyDescent="0.25">
      <c r="L78" s="89"/>
      <c r="M78" s="89"/>
      <c r="N78" s="89"/>
      <c r="O78" s="89"/>
      <c r="P78" s="89"/>
      <c r="Q78" s="89"/>
      <c r="R78" s="89"/>
      <c r="S78" s="89"/>
      <c r="T78" s="89"/>
      <c r="U78" s="89"/>
      <c r="V78" s="89"/>
      <c r="W78" s="88"/>
      <c r="X78" s="89"/>
      <c r="Y78" s="89"/>
      <c r="Z78" s="89"/>
      <c r="AA78" s="89"/>
      <c r="AB78" s="89"/>
      <c r="AC78" s="89"/>
      <c r="AD78" s="89"/>
      <c r="AE78" s="89"/>
      <c r="AF78" s="89"/>
      <c r="AG78" s="89"/>
      <c r="AH78" s="89"/>
    </row>
    <row r="79" spans="12:34" s="85" customFormat="1" x14ac:dyDescent="0.25">
      <c r="L79" s="89"/>
      <c r="M79" s="89"/>
      <c r="N79" s="89"/>
      <c r="O79" s="89"/>
      <c r="P79" s="89"/>
      <c r="Q79" s="89"/>
      <c r="R79" s="89"/>
      <c r="S79" s="89"/>
      <c r="T79" s="89"/>
      <c r="U79" s="89"/>
      <c r="V79" s="89"/>
      <c r="W79" s="88"/>
      <c r="X79" s="89"/>
      <c r="Y79" s="89"/>
      <c r="Z79" s="89"/>
      <c r="AA79" s="89"/>
      <c r="AB79" s="89"/>
      <c r="AC79" s="89"/>
      <c r="AD79" s="89"/>
      <c r="AE79" s="89"/>
      <c r="AF79" s="89"/>
      <c r="AG79" s="89"/>
      <c r="AH79" s="89"/>
    </row>
    <row r="80" spans="12:34" s="85" customFormat="1" x14ac:dyDescent="0.25">
      <c r="L80" s="89"/>
      <c r="M80" s="89"/>
      <c r="N80" s="89"/>
      <c r="O80" s="89"/>
      <c r="P80" s="89"/>
      <c r="Q80" s="89"/>
      <c r="R80" s="89"/>
      <c r="S80" s="89"/>
      <c r="T80" s="89"/>
      <c r="U80" s="89"/>
      <c r="V80" s="89"/>
      <c r="W80" s="88"/>
      <c r="X80" s="89"/>
      <c r="Y80" s="89"/>
      <c r="Z80" s="89"/>
      <c r="AA80" s="89"/>
      <c r="AB80" s="89"/>
      <c r="AC80" s="89"/>
      <c r="AD80" s="89"/>
      <c r="AE80" s="89"/>
      <c r="AF80" s="89"/>
      <c r="AG80" s="89"/>
      <c r="AH80" s="89"/>
    </row>
    <row r="81" spans="12:34" s="85" customFormat="1" x14ac:dyDescent="0.25">
      <c r="L81" s="89"/>
      <c r="M81" s="89"/>
      <c r="N81" s="89"/>
      <c r="O81" s="89"/>
      <c r="P81" s="89"/>
      <c r="Q81" s="89"/>
      <c r="R81" s="89"/>
      <c r="S81" s="89"/>
      <c r="T81" s="89"/>
      <c r="U81" s="89"/>
      <c r="V81" s="89"/>
      <c r="W81" s="88"/>
      <c r="X81" s="89"/>
      <c r="Y81" s="89"/>
      <c r="Z81" s="89"/>
      <c r="AA81" s="89"/>
      <c r="AB81" s="89"/>
      <c r="AC81" s="89"/>
      <c r="AD81" s="89"/>
      <c r="AE81" s="89"/>
      <c r="AF81" s="89"/>
      <c r="AG81" s="89"/>
      <c r="AH81" s="89"/>
    </row>
    <row r="82" spans="12:34" s="85" customFormat="1" x14ac:dyDescent="0.25">
      <c r="L82" s="89"/>
      <c r="M82" s="89"/>
      <c r="N82" s="89"/>
      <c r="O82" s="89"/>
      <c r="P82" s="89"/>
      <c r="Q82" s="89"/>
      <c r="R82" s="89"/>
      <c r="S82" s="89"/>
      <c r="T82" s="89"/>
      <c r="U82" s="89"/>
      <c r="V82" s="89"/>
      <c r="W82" s="88"/>
      <c r="X82" s="89"/>
      <c r="Y82" s="89"/>
      <c r="Z82" s="89"/>
      <c r="AA82" s="89"/>
      <c r="AB82" s="89"/>
      <c r="AC82" s="89"/>
      <c r="AD82" s="89"/>
      <c r="AE82" s="89"/>
      <c r="AF82" s="89"/>
      <c r="AG82" s="89"/>
      <c r="AH82" s="89"/>
    </row>
    <row r="83" spans="12:34" s="85" customFormat="1" x14ac:dyDescent="0.25">
      <c r="L83" s="89"/>
      <c r="M83" s="89"/>
      <c r="N83" s="89"/>
      <c r="O83" s="89"/>
      <c r="P83" s="89"/>
      <c r="Q83" s="89"/>
      <c r="R83" s="89"/>
      <c r="S83" s="89"/>
      <c r="T83" s="89"/>
      <c r="U83" s="89"/>
      <c r="V83" s="89"/>
      <c r="W83" s="88"/>
      <c r="X83" s="89"/>
      <c r="Y83" s="89"/>
      <c r="Z83" s="89"/>
      <c r="AA83" s="89"/>
      <c r="AB83" s="89"/>
      <c r="AC83" s="89"/>
      <c r="AD83" s="89"/>
      <c r="AE83" s="89"/>
      <c r="AF83" s="89"/>
      <c r="AG83" s="89"/>
      <c r="AH83" s="89"/>
    </row>
    <row r="84" spans="12:34" s="85" customFormat="1" x14ac:dyDescent="0.25">
      <c r="L84" s="89"/>
      <c r="M84" s="89"/>
      <c r="N84" s="89"/>
      <c r="O84" s="89"/>
      <c r="P84" s="89"/>
      <c r="Q84" s="89"/>
      <c r="R84" s="89"/>
      <c r="S84" s="89"/>
      <c r="T84" s="89"/>
      <c r="U84" s="89"/>
      <c r="V84" s="89"/>
      <c r="W84" s="88"/>
      <c r="X84" s="89"/>
      <c r="Y84" s="89"/>
      <c r="Z84" s="89"/>
      <c r="AA84" s="89"/>
      <c r="AB84" s="89"/>
      <c r="AC84" s="89"/>
      <c r="AD84" s="89"/>
      <c r="AE84" s="89"/>
      <c r="AF84" s="89"/>
      <c r="AG84" s="89"/>
      <c r="AH84" s="89"/>
    </row>
    <row r="85" spans="12:34" s="85" customFormat="1" x14ac:dyDescent="0.25">
      <c r="L85" s="89"/>
      <c r="M85" s="89"/>
      <c r="N85" s="89"/>
      <c r="O85" s="89"/>
      <c r="P85" s="89"/>
      <c r="Q85" s="89"/>
      <c r="R85" s="89"/>
      <c r="S85" s="89"/>
      <c r="T85" s="89"/>
      <c r="U85" s="89"/>
      <c r="V85" s="89"/>
      <c r="W85" s="88"/>
      <c r="X85" s="89"/>
      <c r="Y85" s="89"/>
      <c r="Z85" s="89"/>
      <c r="AA85" s="89"/>
      <c r="AB85" s="89"/>
      <c r="AC85" s="89"/>
      <c r="AD85" s="89"/>
      <c r="AE85" s="89"/>
      <c r="AF85" s="89"/>
      <c r="AG85" s="89"/>
      <c r="AH85" s="89"/>
    </row>
    <row r="86" spans="12:34" s="85" customFormat="1" x14ac:dyDescent="0.25">
      <c r="L86" s="89"/>
      <c r="M86" s="89"/>
      <c r="N86" s="89"/>
      <c r="O86" s="89"/>
      <c r="P86" s="89"/>
      <c r="Q86" s="89"/>
      <c r="R86" s="89"/>
      <c r="S86" s="89"/>
      <c r="T86" s="89"/>
      <c r="U86" s="89"/>
      <c r="V86" s="89"/>
      <c r="W86" s="88"/>
      <c r="X86" s="89"/>
      <c r="Y86" s="89"/>
      <c r="Z86" s="89"/>
      <c r="AA86" s="89"/>
      <c r="AB86" s="89"/>
      <c r="AC86" s="89"/>
      <c r="AD86" s="89"/>
      <c r="AE86" s="89"/>
      <c r="AF86" s="89"/>
      <c r="AG86" s="89"/>
      <c r="AH86" s="89"/>
    </row>
    <row r="87" spans="12:34" s="85" customFormat="1" x14ac:dyDescent="0.25">
      <c r="L87" s="89"/>
      <c r="M87" s="89"/>
      <c r="N87" s="89"/>
      <c r="O87" s="89"/>
      <c r="P87" s="89"/>
      <c r="Q87" s="89"/>
      <c r="R87" s="89"/>
      <c r="S87" s="89"/>
      <c r="T87" s="89"/>
      <c r="U87" s="89"/>
      <c r="V87" s="89"/>
      <c r="W87" s="88"/>
      <c r="X87" s="89"/>
      <c r="Y87" s="89"/>
      <c r="Z87" s="89"/>
      <c r="AA87" s="89"/>
      <c r="AB87" s="89"/>
      <c r="AC87" s="89"/>
      <c r="AD87" s="89"/>
      <c r="AE87" s="89"/>
      <c r="AF87" s="89"/>
      <c r="AG87" s="89"/>
      <c r="AH87" s="89"/>
    </row>
    <row r="88" spans="12:34" s="85" customFormat="1" x14ac:dyDescent="0.25">
      <c r="L88" s="89"/>
      <c r="M88" s="89"/>
      <c r="N88" s="89"/>
      <c r="O88" s="89"/>
      <c r="P88" s="89"/>
      <c r="Q88" s="89"/>
      <c r="R88" s="89"/>
      <c r="S88" s="89"/>
      <c r="T88" s="89"/>
      <c r="U88" s="89"/>
      <c r="V88" s="89"/>
      <c r="W88" s="88"/>
      <c r="X88" s="89"/>
      <c r="Y88" s="89"/>
      <c r="Z88" s="89"/>
      <c r="AA88" s="89"/>
      <c r="AB88" s="89"/>
      <c r="AC88" s="89"/>
      <c r="AD88" s="89"/>
      <c r="AE88" s="89"/>
      <c r="AF88" s="89"/>
      <c r="AG88" s="89"/>
      <c r="AH88" s="89"/>
    </row>
    <row r="89" spans="12:34" s="85" customFormat="1" x14ac:dyDescent="0.25">
      <c r="L89" s="89"/>
      <c r="M89" s="89"/>
      <c r="N89" s="89"/>
      <c r="O89" s="89"/>
      <c r="P89" s="89"/>
      <c r="Q89" s="89"/>
      <c r="R89" s="89"/>
      <c r="S89" s="89"/>
      <c r="T89" s="89"/>
      <c r="U89" s="89"/>
      <c r="V89" s="89"/>
      <c r="W89" s="88"/>
      <c r="X89" s="89"/>
      <c r="Y89" s="89"/>
      <c r="Z89" s="89"/>
      <c r="AA89" s="89"/>
      <c r="AB89" s="89"/>
      <c r="AC89" s="89"/>
      <c r="AD89" s="89"/>
      <c r="AE89" s="89"/>
      <c r="AF89" s="89"/>
      <c r="AG89" s="89"/>
      <c r="AH89" s="89"/>
    </row>
    <row r="90" spans="12:34" s="85" customFormat="1" x14ac:dyDescent="0.25">
      <c r="L90" s="89"/>
      <c r="M90" s="89"/>
      <c r="N90" s="89"/>
      <c r="O90" s="89"/>
      <c r="P90" s="89"/>
      <c r="Q90" s="89"/>
      <c r="R90" s="89"/>
      <c r="S90" s="89"/>
      <c r="T90" s="89"/>
      <c r="U90" s="89"/>
      <c r="V90" s="89"/>
      <c r="W90" s="88"/>
      <c r="X90" s="89"/>
      <c r="Y90" s="89"/>
      <c r="Z90" s="89"/>
      <c r="AA90" s="89"/>
      <c r="AB90" s="89"/>
      <c r="AC90" s="89"/>
      <c r="AD90" s="89"/>
      <c r="AE90" s="89"/>
      <c r="AF90" s="89"/>
      <c r="AG90" s="89"/>
      <c r="AH90" s="89"/>
    </row>
    <row r="91" spans="12:34" s="85" customFormat="1" x14ac:dyDescent="0.25">
      <c r="L91" s="89"/>
      <c r="M91" s="89"/>
      <c r="N91" s="89"/>
      <c r="O91" s="89"/>
      <c r="P91" s="89"/>
      <c r="Q91" s="89"/>
      <c r="R91" s="89"/>
      <c r="S91" s="89"/>
      <c r="T91" s="89"/>
      <c r="U91" s="89"/>
      <c r="V91" s="89"/>
      <c r="W91" s="88"/>
      <c r="X91" s="89"/>
      <c r="Y91" s="89"/>
      <c r="Z91" s="89"/>
      <c r="AA91" s="89"/>
      <c r="AB91" s="89"/>
      <c r="AC91" s="89"/>
      <c r="AD91" s="89"/>
      <c r="AE91" s="89"/>
      <c r="AF91" s="89"/>
      <c r="AG91" s="89"/>
      <c r="AH91" s="89"/>
    </row>
    <row r="92" spans="12:34" s="85" customFormat="1" x14ac:dyDescent="0.25">
      <c r="L92" s="89"/>
      <c r="M92" s="89"/>
      <c r="N92" s="89"/>
      <c r="O92" s="89"/>
      <c r="P92" s="89"/>
      <c r="Q92" s="89"/>
      <c r="R92" s="89"/>
      <c r="S92" s="89"/>
      <c r="T92" s="89"/>
      <c r="U92" s="89"/>
      <c r="V92" s="89"/>
      <c r="W92" s="88"/>
      <c r="X92" s="89"/>
      <c r="Y92" s="89"/>
      <c r="Z92" s="89"/>
      <c r="AA92" s="89"/>
      <c r="AB92" s="89"/>
      <c r="AC92" s="89"/>
      <c r="AD92" s="89"/>
      <c r="AE92" s="89"/>
      <c r="AF92" s="89"/>
      <c r="AG92" s="89"/>
      <c r="AH92" s="89"/>
    </row>
    <row r="93" spans="12:34" s="85" customFormat="1" x14ac:dyDescent="0.25">
      <c r="L93" s="89"/>
      <c r="M93" s="89"/>
      <c r="N93" s="89"/>
      <c r="O93" s="89"/>
      <c r="P93" s="89"/>
      <c r="Q93" s="89"/>
      <c r="R93" s="89"/>
      <c r="S93" s="89"/>
      <c r="T93" s="89"/>
      <c r="U93" s="89"/>
      <c r="V93" s="89"/>
      <c r="W93" s="88"/>
      <c r="X93" s="89"/>
      <c r="Y93" s="89"/>
      <c r="Z93" s="89"/>
      <c r="AA93" s="89"/>
      <c r="AB93" s="89"/>
      <c r="AC93" s="89"/>
      <c r="AD93" s="89"/>
      <c r="AE93" s="89"/>
      <c r="AF93" s="89"/>
      <c r="AG93" s="89"/>
      <c r="AH93" s="89"/>
    </row>
    <row r="94" spans="12:34" s="85" customFormat="1" x14ac:dyDescent="0.25">
      <c r="L94" s="89"/>
      <c r="M94" s="89"/>
      <c r="N94" s="89"/>
      <c r="O94" s="89"/>
      <c r="P94" s="89"/>
      <c r="Q94" s="89"/>
      <c r="R94" s="89"/>
      <c r="S94" s="89"/>
      <c r="T94" s="89"/>
      <c r="U94" s="89"/>
      <c r="V94" s="89"/>
      <c r="W94" s="88"/>
      <c r="X94" s="89"/>
      <c r="Y94" s="89"/>
      <c r="Z94" s="89"/>
      <c r="AA94" s="89"/>
      <c r="AB94" s="89"/>
      <c r="AC94" s="89"/>
      <c r="AD94" s="89"/>
      <c r="AE94" s="89"/>
      <c r="AF94" s="89"/>
      <c r="AG94" s="89"/>
      <c r="AH94" s="89"/>
    </row>
    <row r="95" spans="12:34" s="85" customFormat="1" x14ac:dyDescent="0.25">
      <c r="L95" s="89"/>
      <c r="M95" s="89"/>
      <c r="N95" s="89"/>
      <c r="O95" s="89"/>
      <c r="P95" s="89"/>
      <c r="Q95" s="89"/>
      <c r="R95" s="89"/>
      <c r="S95" s="89"/>
      <c r="T95" s="89"/>
      <c r="U95" s="89"/>
      <c r="V95" s="89"/>
      <c r="W95" s="88"/>
      <c r="X95" s="89"/>
      <c r="Y95" s="89"/>
      <c r="Z95" s="89"/>
      <c r="AA95" s="89"/>
      <c r="AB95" s="89"/>
      <c r="AC95" s="89"/>
      <c r="AD95" s="89"/>
      <c r="AE95" s="89"/>
      <c r="AF95" s="89"/>
      <c r="AG95" s="89"/>
      <c r="AH95" s="89"/>
    </row>
    <row r="96" spans="12:34" s="85" customFormat="1" x14ac:dyDescent="0.25">
      <c r="L96" s="89"/>
      <c r="M96" s="89"/>
      <c r="N96" s="89"/>
      <c r="O96" s="89"/>
      <c r="P96" s="89"/>
      <c r="Q96" s="89"/>
      <c r="R96" s="89"/>
      <c r="S96" s="89"/>
      <c r="T96" s="89"/>
      <c r="U96" s="89"/>
      <c r="V96" s="89"/>
      <c r="W96" s="88"/>
      <c r="X96" s="89"/>
      <c r="Y96" s="89"/>
      <c r="Z96" s="89"/>
      <c r="AA96" s="89"/>
      <c r="AB96" s="89"/>
      <c r="AC96" s="89"/>
      <c r="AD96" s="89"/>
      <c r="AE96" s="89"/>
      <c r="AF96" s="89"/>
      <c r="AG96" s="89"/>
      <c r="AH96" s="89"/>
    </row>
    <row r="97" spans="12:34" s="85" customFormat="1" x14ac:dyDescent="0.25">
      <c r="L97" s="89"/>
      <c r="M97" s="89"/>
      <c r="N97" s="89"/>
      <c r="O97" s="89"/>
      <c r="P97" s="89"/>
      <c r="Q97" s="89"/>
      <c r="R97" s="89"/>
      <c r="S97" s="89"/>
      <c r="T97" s="89"/>
      <c r="U97" s="89"/>
      <c r="V97" s="89"/>
      <c r="W97" s="88"/>
      <c r="X97" s="89"/>
      <c r="Y97" s="89"/>
      <c r="Z97" s="89"/>
      <c r="AA97" s="89"/>
      <c r="AB97" s="89"/>
      <c r="AC97" s="89"/>
      <c r="AD97" s="89"/>
      <c r="AE97" s="89"/>
      <c r="AF97" s="89"/>
      <c r="AG97" s="89"/>
      <c r="AH97" s="89"/>
    </row>
    <row r="98" spans="12:34" s="85" customFormat="1" x14ac:dyDescent="0.25">
      <c r="L98" s="89"/>
      <c r="M98" s="89"/>
      <c r="N98" s="89"/>
      <c r="O98" s="89"/>
      <c r="P98" s="89"/>
      <c r="Q98" s="89"/>
      <c r="R98" s="89"/>
      <c r="S98" s="89"/>
      <c r="T98" s="89"/>
      <c r="U98" s="89"/>
      <c r="V98" s="89"/>
      <c r="W98" s="88"/>
      <c r="X98" s="89"/>
      <c r="Y98" s="89"/>
      <c r="Z98" s="89"/>
      <c r="AA98" s="89"/>
      <c r="AB98" s="89"/>
      <c r="AC98" s="89"/>
      <c r="AD98" s="89"/>
      <c r="AE98" s="89"/>
      <c r="AF98" s="89"/>
      <c r="AG98" s="89"/>
      <c r="AH98" s="89"/>
    </row>
    <row r="99" spans="12:34" s="85" customFormat="1" x14ac:dyDescent="0.25">
      <c r="L99" s="89"/>
      <c r="M99" s="89"/>
      <c r="N99" s="89"/>
      <c r="O99" s="89"/>
      <c r="P99" s="89"/>
      <c r="Q99" s="89"/>
      <c r="R99" s="89"/>
      <c r="S99" s="89"/>
      <c r="T99" s="89"/>
      <c r="U99" s="89"/>
      <c r="V99" s="89"/>
      <c r="W99" s="88"/>
      <c r="X99" s="89"/>
      <c r="Y99" s="89"/>
      <c r="Z99" s="89"/>
      <c r="AA99" s="89"/>
      <c r="AB99" s="89"/>
      <c r="AC99" s="89"/>
      <c r="AD99" s="89"/>
      <c r="AE99" s="89"/>
      <c r="AF99" s="89"/>
      <c r="AG99" s="89"/>
      <c r="AH99" s="89"/>
    </row>
    <row r="100" spans="12:34" s="85" customFormat="1" x14ac:dyDescent="0.25">
      <c r="L100" s="89"/>
      <c r="M100" s="89"/>
      <c r="N100" s="89"/>
      <c r="O100" s="89"/>
      <c r="P100" s="89"/>
      <c r="Q100" s="89"/>
      <c r="R100" s="89"/>
      <c r="S100" s="89"/>
      <c r="T100" s="89"/>
      <c r="U100" s="89"/>
      <c r="V100" s="89"/>
      <c r="W100" s="88"/>
      <c r="X100" s="89"/>
      <c r="Y100" s="89"/>
      <c r="Z100" s="89"/>
      <c r="AA100" s="89"/>
      <c r="AB100" s="89"/>
      <c r="AC100" s="89"/>
      <c r="AD100" s="89"/>
      <c r="AE100" s="89"/>
      <c r="AF100" s="89"/>
      <c r="AG100" s="89"/>
      <c r="AH100" s="89"/>
    </row>
    <row r="101" spans="12:34" s="85" customFormat="1" x14ac:dyDescent="0.25">
      <c r="L101" s="89"/>
      <c r="M101" s="89"/>
      <c r="N101" s="89"/>
      <c r="O101" s="89"/>
      <c r="P101" s="89"/>
      <c r="Q101" s="89"/>
      <c r="R101" s="89"/>
      <c r="S101" s="89"/>
      <c r="T101" s="89"/>
      <c r="U101" s="89"/>
      <c r="V101" s="89"/>
      <c r="W101" s="88"/>
      <c r="X101" s="89"/>
      <c r="Y101" s="89"/>
      <c r="Z101" s="89"/>
      <c r="AA101" s="89"/>
      <c r="AB101" s="89"/>
      <c r="AC101" s="89"/>
      <c r="AD101" s="89"/>
      <c r="AE101" s="89"/>
      <c r="AF101" s="89"/>
      <c r="AG101" s="89"/>
      <c r="AH101" s="89"/>
    </row>
    <row r="102" spans="12:34" s="85" customFormat="1" x14ac:dyDescent="0.25">
      <c r="L102" s="89"/>
      <c r="M102" s="89"/>
      <c r="N102" s="89"/>
      <c r="O102" s="89"/>
      <c r="P102" s="89"/>
      <c r="Q102" s="89"/>
      <c r="R102" s="89"/>
      <c r="S102" s="89"/>
      <c r="T102" s="89"/>
      <c r="U102" s="89"/>
      <c r="V102" s="89"/>
      <c r="W102" s="88"/>
      <c r="X102" s="89"/>
      <c r="Y102" s="89"/>
      <c r="Z102" s="89"/>
      <c r="AA102" s="89"/>
      <c r="AB102" s="89"/>
      <c r="AC102" s="89"/>
      <c r="AD102" s="89"/>
      <c r="AE102" s="89"/>
      <c r="AF102" s="89"/>
      <c r="AG102" s="89"/>
      <c r="AH102" s="89"/>
    </row>
    <row r="103" spans="12:34" s="85" customFormat="1" x14ac:dyDescent="0.25">
      <c r="L103" s="89"/>
      <c r="M103" s="89"/>
      <c r="N103" s="89"/>
      <c r="O103" s="89"/>
      <c r="P103" s="89"/>
      <c r="Q103" s="89"/>
      <c r="R103" s="89"/>
      <c r="S103" s="89"/>
      <c r="T103" s="89"/>
      <c r="U103" s="89"/>
      <c r="V103" s="89"/>
      <c r="W103" s="88"/>
      <c r="X103" s="89"/>
      <c r="Y103" s="89"/>
      <c r="Z103" s="89"/>
      <c r="AA103" s="89"/>
      <c r="AB103" s="89"/>
      <c r="AC103" s="89"/>
      <c r="AD103" s="89"/>
      <c r="AE103" s="89"/>
      <c r="AF103" s="89"/>
      <c r="AG103" s="89"/>
      <c r="AH103" s="89"/>
    </row>
    <row r="104" spans="12:34" s="85" customFormat="1" x14ac:dyDescent="0.25">
      <c r="L104" s="89"/>
      <c r="M104" s="89"/>
      <c r="N104" s="89"/>
      <c r="O104" s="89"/>
      <c r="P104" s="89"/>
      <c r="Q104" s="89"/>
      <c r="R104" s="89"/>
      <c r="S104" s="89"/>
      <c r="T104" s="89"/>
      <c r="U104" s="89"/>
      <c r="V104" s="89"/>
      <c r="W104" s="88"/>
      <c r="X104" s="89"/>
      <c r="Y104" s="89"/>
      <c r="Z104" s="89"/>
      <c r="AA104" s="89"/>
      <c r="AB104" s="89"/>
      <c r="AC104" s="89"/>
      <c r="AD104" s="89"/>
      <c r="AE104" s="89"/>
      <c r="AF104" s="89"/>
      <c r="AG104" s="89"/>
      <c r="AH104" s="89"/>
    </row>
    <row r="105" spans="12:34" s="85" customFormat="1" x14ac:dyDescent="0.25">
      <c r="L105" s="89"/>
      <c r="M105" s="89"/>
      <c r="N105" s="89"/>
      <c r="O105" s="89"/>
      <c r="P105" s="89"/>
      <c r="Q105" s="89"/>
      <c r="R105" s="89"/>
      <c r="S105" s="89"/>
      <c r="T105" s="89"/>
      <c r="U105" s="89"/>
      <c r="V105" s="89"/>
      <c r="W105" s="88"/>
      <c r="X105" s="89"/>
      <c r="Y105" s="89"/>
      <c r="Z105" s="89"/>
      <c r="AA105" s="89"/>
      <c r="AB105" s="89"/>
      <c r="AC105" s="89"/>
      <c r="AD105" s="89"/>
      <c r="AE105" s="89"/>
      <c r="AF105" s="89"/>
      <c r="AG105" s="89"/>
      <c r="AH105" s="89"/>
    </row>
    <row r="106" spans="12:34" s="85" customFormat="1" x14ac:dyDescent="0.25">
      <c r="L106" s="89"/>
      <c r="M106" s="89"/>
      <c r="N106" s="89"/>
      <c r="O106" s="89"/>
      <c r="P106" s="89"/>
      <c r="Q106" s="89"/>
      <c r="R106" s="89"/>
      <c r="S106" s="89"/>
      <c r="T106" s="89"/>
      <c r="U106" s="89"/>
      <c r="V106" s="89"/>
      <c r="W106" s="88"/>
      <c r="X106" s="89"/>
      <c r="Y106" s="89"/>
      <c r="Z106" s="89"/>
      <c r="AA106" s="89"/>
      <c r="AB106" s="89"/>
      <c r="AC106" s="89"/>
      <c r="AD106" s="89"/>
      <c r="AE106" s="89"/>
      <c r="AF106" s="89"/>
      <c r="AG106" s="89"/>
      <c r="AH106" s="89"/>
    </row>
    <row r="107" spans="12:34" s="85" customFormat="1" x14ac:dyDescent="0.25">
      <c r="L107" s="89"/>
      <c r="M107" s="89"/>
      <c r="N107" s="89"/>
      <c r="O107" s="89"/>
      <c r="P107" s="89"/>
      <c r="Q107" s="89"/>
      <c r="R107" s="89"/>
      <c r="S107" s="89"/>
      <c r="T107" s="89"/>
      <c r="U107" s="89"/>
      <c r="V107" s="89"/>
      <c r="W107" s="88"/>
      <c r="X107" s="89"/>
      <c r="Y107" s="89"/>
      <c r="Z107" s="89"/>
      <c r="AA107" s="89"/>
      <c r="AB107" s="89"/>
      <c r="AC107" s="89"/>
      <c r="AD107" s="89"/>
      <c r="AE107" s="89"/>
      <c r="AF107" s="89"/>
      <c r="AG107" s="89"/>
      <c r="AH107" s="89"/>
    </row>
    <row r="108" spans="12:34" s="85" customFormat="1" x14ac:dyDescent="0.25">
      <c r="L108" s="89"/>
      <c r="M108" s="89"/>
      <c r="N108" s="89"/>
      <c r="O108" s="89"/>
      <c r="P108" s="89"/>
      <c r="Q108" s="89"/>
      <c r="R108" s="89"/>
      <c r="S108" s="89"/>
      <c r="T108" s="89"/>
      <c r="U108" s="89"/>
      <c r="V108" s="89"/>
      <c r="W108" s="88"/>
      <c r="X108" s="89"/>
      <c r="Y108" s="89"/>
      <c r="Z108" s="89"/>
      <c r="AA108" s="89"/>
      <c r="AB108" s="89"/>
      <c r="AC108" s="89"/>
      <c r="AD108" s="89"/>
      <c r="AE108" s="89"/>
      <c r="AF108" s="89"/>
      <c r="AG108" s="89"/>
      <c r="AH108" s="89"/>
    </row>
    <row r="109" spans="12:34" s="85" customFormat="1" x14ac:dyDescent="0.25">
      <c r="L109" s="89"/>
      <c r="M109" s="89"/>
      <c r="N109" s="89"/>
      <c r="O109" s="89"/>
      <c r="P109" s="89"/>
      <c r="Q109" s="89"/>
      <c r="R109" s="89"/>
      <c r="S109" s="89"/>
      <c r="T109" s="89"/>
      <c r="U109" s="89"/>
      <c r="V109" s="89"/>
      <c r="W109" s="88"/>
      <c r="X109" s="89"/>
      <c r="Y109" s="89"/>
      <c r="Z109" s="89"/>
      <c r="AA109" s="89"/>
      <c r="AB109" s="89"/>
      <c r="AC109" s="89"/>
      <c r="AD109" s="89"/>
      <c r="AE109" s="89"/>
      <c r="AF109" s="89"/>
      <c r="AG109" s="89"/>
      <c r="AH109" s="89"/>
    </row>
    <row r="110" spans="12:34" s="85" customFormat="1" x14ac:dyDescent="0.25">
      <c r="L110" s="89"/>
      <c r="M110" s="89"/>
      <c r="N110" s="89"/>
      <c r="O110" s="89"/>
      <c r="P110" s="89"/>
      <c r="Q110" s="89"/>
      <c r="R110" s="89"/>
      <c r="S110" s="89"/>
      <c r="T110" s="89"/>
      <c r="U110" s="89"/>
      <c r="V110" s="89"/>
      <c r="W110" s="88"/>
      <c r="X110" s="89"/>
      <c r="Y110" s="89"/>
      <c r="Z110" s="89"/>
      <c r="AA110" s="89"/>
      <c r="AB110" s="89"/>
      <c r="AC110" s="89"/>
      <c r="AD110" s="89"/>
      <c r="AE110" s="89"/>
      <c r="AF110" s="89"/>
      <c r="AG110" s="89"/>
      <c r="AH110" s="89"/>
    </row>
    <row r="111" spans="12:34" s="85" customFormat="1" x14ac:dyDescent="0.25">
      <c r="L111" s="89"/>
      <c r="M111" s="89"/>
      <c r="N111" s="89"/>
      <c r="O111" s="89"/>
      <c r="P111" s="89"/>
      <c r="Q111" s="89"/>
      <c r="R111" s="89"/>
      <c r="S111" s="89"/>
      <c r="T111" s="89"/>
      <c r="U111" s="89"/>
      <c r="V111" s="89"/>
      <c r="W111" s="88"/>
      <c r="X111" s="89"/>
      <c r="Y111" s="89"/>
      <c r="Z111" s="89"/>
      <c r="AA111" s="89"/>
      <c r="AB111" s="89"/>
      <c r="AC111" s="89"/>
      <c r="AD111" s="89"/>
      <c r="AE111" s="89"/>
      <c r="AF111" s="89"/>
      <c r="AG111" s="89"/>
      <c r="AH111" s="89"/>
    </row>
    <row r="112" spans="12:34" s="85" customFormat="1" x14ac:dyDescent="0.25">
      <c r="L112" s="89"/>
      <c r="M112" s="89"/>
      <c r="N112" s="89"/>
      <c r="O112" s="89"/>
      <c r="P112" s="89"/>
      <c r="Q112" s="89"/>
      <c r="R112" s="89"/>
      <c r="S112" s="89"/>
      <c r="T112" s="89"/>
      <c r="U112" s="89"/>
      <c r="V112" s="89"/>
      <c r="W112" s="88"/>
      <c r="X112" s="89"/>
      <c r="Y112" s="89"/>
      <c r="Z112" s="89"/>
      <c r="AA112" s="89"/>
      <c r="AB112" s="89"/>
      <c r="AC112" s="89"/>
      <c r="AD112" s="89"/>
      <c r="AE112" s="89"/>
      <c r="AF112" s="89"/>
      <c r="AG112" s="89"/>
      <c r="AH112" s="89"/>
    </row>
    <row r="113" spans="12:34" s="85" customFormat="1" x14ac:dyDescent="0.25">
      <c r="L113" s="89"/>
      <c r="M113" s="89"/>
      <c r="N113" s="89"/>
      <c r="O113" s="89"/>
      <c r="P113" s="89"/>
      <c r="Q113" s="89"/>
      <c r="R113" s="89"/>
      <c r="S113" s="89"/>
      <c r="T113" s="89"/>
      <c r="U113" s="89"/>
      <c r="V113" s="89"/>
      <c r="W113" s="88"/>
      <c r="X113" s="89"/>
      <c r="Y113" s="89"/>
      <c r="Z113" s="89"/>
      <c r="AA113" s="89"/>
      <c r="AB113" s="89"/>
      <c r="AC113" s="89"/>
      <c r="AD113" s="89"/>
      <c r="AE113" s="89"/>
      <c r="AF113" s="89"/>
      <c r="AG113" s="89"/>
      <c r="AH113" s="89"/>
    </row>
    <row r="114" spans="12:34" s="85" customFormat="1" x14ac:dyDescent="0.25">
      <c r="L114" s="89"/>
      <c r="M114" s="89"/>
      <c r="N114" s="89"/>
      <c r="O114" s="89"/>
      <c r="P114" s="89"/>
      <c r="Q114" s="89"/>
      <c r="R114" s="89"/>
      <c r="S114" s="89"/>
      <c r="T114" s="89"/>
      <c r="U114" s="89"/>
      <c r="V114" s="89"/>
      <c r="W114" s="88"/>
      <c r="X114" s="89"/>
      <c r="Y114" s="89"/>
      <c r="Z114" s="89"/>
      <c r="AA114" s="89"/>
      <c r="AB114" s="89"/>
      <c r="AC114" s="89"/>
      <c r="AD114" s="89"/>
      <c r="AE114" s="89"/>
      <c r="AF114" s="89"/>
      <c r="AG114" s="89"/>
      <c r="AH114" s="89"/>
    </row>
    <row r="115" spans="12:34" s="85" customFormat="1" x14ac:dyDescent="0.25">
      <c r="L115" s="89"/>
      <c r="M115" s="89"/>
      <c r="N115" s="89"/>
      <c r="O115" s="89"/>
      <c r="P115" s="89"/>
      <c r="Q115" s="89"/>
      <c r="R115" s="89"/>
      <c r="S115" s="89"/>
      <c r="T115" s="89"/>
      <c r="U115" s="89"/>
      <c r="V115" s="89"/>
      <c r="W115" s="88"/>
      <c r="X115" s="89"/>
      <c r="Y115" s="89"/>
      <c r="Z115" s="89"/>
      <c r="AA115" s="89"/>
      <c r="AB115" s="89"/>
      <c r="AC115" s="89"/>
      <c r="AD115" s="89"/>
      <c r="AE115" s="89"/>
      <c r="AF115" s="89"/>
      <c r="AG115" s="89"/>
      <c r="AH115" s="89"/>
    </row>
    <row r="116" spans="12:34" s="85" customFormat="1" x14ac:dyDescent="0.25">
      <c r="L116" s="89"/>
      <c r="M116" s="89"/>
      <c r="N116" s="89"/>
      <c r="O116" s="89"/>
      <c r="P116" s="89"/>
      <c r="Q116" s="89"/>
      <c r="R116" s="89"/>
      <c r="S116" s="89"/>
      <c r="T116" s="89"/>
      <c r="U116" s="89"/>
      <c r="V116" s="89"/>
      <c r="W116" s="88"/>
      <c r="X116" s="89"/>
      <c r="Y116" s="89"/>
      <c r="Z116" s="89"/>
      <c r="AA116" s="89"/>
      <c r="AB116" s="89"/>
      <c r="AC116" s="89"/>
      <c r="AD116" s="89"/>
      <c r="AE116" s="89"/>
      <c r="AF116" s="89"/>
      <c r="AG116" s="89"/>
      <c r="AH116" s="89"/>
    </row>
    <row r="117" spans="12:34" s="85" customFormat="1" x14ac:dyDescent="0.25">
      <c r="L117" s="89"/>
      <c r="M117" s="89"/>
      <c r="N117" s="89"/>
      <c r="O117" s="89"/>
      <c r="P117" s="89"/>
      <c r="Q117" s="89"/>
      <c r="R117" s="89"/>
      <c r="S117" s="89"/>
      <c r="T117" s="89"/>
      <c r="U117" s="89"/>
      <c r="V117" s="89"/>
      <c r="W117" s="88"/>
      <c r="X117" s="89"/>
      <c r="Y117" s="89"/>
      <c r="Z117" s="89"/>
      <c r="AA117" s="89"/>
      <c r="AB117" s="89"/>
      <c r="AC117" s="89"/>
      <c r="AD117" s="89"/>
      <c r="AE117" s="89"/>
      <c r="AF117" s="89"/>
      <c r="AG117" s="89"/>
      <c r="AH117" s="89"/>
    </row>
    <row r="118" spans="12:34" s="85" customFormat="1" x14ac:dyDescent="0.25">
      <c r="L118" s="89"/>
      <c r="M118" s="89"/>
      <c r="N118" s="89"/>
      <c r="O118" s="89"/>
      <c r="P118" s="89"/>
      <c r="Q118" s="89"/>
      <c r="R118" s="89"/>
      <c r="S118" s="89"/>
      <c r="T118" s="89"/>
      <c r="U118" s="89"/>
      <c r="V118" s="89"/>
      <c r="W118" s="88"/>
      <c r="X118" s="89"/>
      <c r="Y118" s="89"/>
      <c r="Z118" s="89"/>
      <c r="AA118" s="89"/>
      <c r="AB118" s="89"/>
      <c r="AC118" s="89"/>
      <c r="AD118" s="89"/>
      <c r="AE118" s="89"/>
      <c r="AF118" s="89"/>
      <c r="AG118" s="89"/>
      <c r="AH118" s="89"/>
    </row>
    <row r="119" spans="12:34" s="85" customFormat="1" x14ac:dyDescent="0.25">
      <c r="L119" s="89"/>
      <c r="M119" s="89"/>
      <c r="N119" s="89"/>
      <c r="O119" s="89"/>
      <c r="P119" s="89"/>
      <c r="Q119" s="89"/>
      <c r="R119" s="89"/>
      <c r="S119" s="89"/>
      <c r="T119" s="89"/>
      <c r="U119" s="89"/>
      <c r="V119" s="89"/>
      <c r="W119" s="88"/>
      <c r="X119" s="89"/>
      <c r="Y119" s="89"/>
      <c r="Z119" s="89"/>
      <c r="AA119" s="89"/>
      <c r="AB119" s="89"/>
      <c r="AC119" s="89"/>
      <c r="AD119" s="89"/>
      <c r="AE119" s="89"/>
      <c r="AF119" s="89"/>
      <c r="AG119" s="89"/>
      <c r="AH119" s="89"/>
    </row>
    <row r="120" spans="12:34" s="85" customFormat="1" x14ac:dyDescent="0.25">
      <c r="L120" s="89"/>
      <c r="M120" s="89"/>
      <c r="N120" s="89"/>
      <c r="O120" s="89"/>
      <c r="P120" s="89"/>
      <c r="Q120" s="89"/>
      <c r="R120" s="89"/>
      <c r="S120" s="89"/>
      <c r="T120" s="89"/>
      <c r="U120" s="89"/>
      <c r="V120" s="89"/>
      <c r="W120" s="88"/>
      <c r="X120" s="89"/>
      <c r="Y120" s="89"/>
      <c r="Z120" s="89"/>
      <c r="AA120" s="89"/>
      <c r="AB120" s="89"/>
      <c r="AC120" s="89"/>
      <c r="AD120" s="89"/>
      <c r="AE120" s="89"/>
      <c r="AF120" s="89"/>
      <c r="AG120" s="89"/>
      <c r="AH120" s="89"/>
    </row>
    <row r="121" spans="12:34" s="85" customFormat="1" x14ac:dyDescent="0.25">
      <c r="L121" s="89"/>
      <c r="M121" s="89"/>
      <c r="N121" s="89"/>
      <c r="O121" s="89"/>
      <c r="P121" s="89"/>
      <c r="Q121" s="89"/>
      <c r="R121" s="89"/>
      <c r="S121" s="89"/>
      <c r="T121" s="89"/>
      <c r="U121" s="89"/>
      <c r="V121" s="89"/>
      <c r="W121" s="88"/>
      <c r="X121" s="89"/>
      <c r="Y121" s="89"/>
      <c r="Z121" s="89"/>
      <c r="AA121" s="89"/>
      <c r="AB121" s="89"/>
      <c r="AC121" s="89"/>
      <c r="AD121" s="89"/>
      <c r="AE121" s="89"/>
      <c r="AF121" s="89"/>
      <c r="AG121" s="89"/>
      <c r="AH121" s="89"/>
    </row>
    <row r="122" spans="12:34" s="85" customFormat="1" x14ac:dyDescent="0.25">
      <c r="L122" s="89"/>
      <c r="M122" s="89"/>
      <c r="N122" s="89"/>
      <c r="O122" s="89"/>
      <c r="P122" s="89"/>
      <c r="Q122" s="89"/>
      <c r="R122" s="89"/>
      <c r="S122" s="89"/>
      <c r="T122" s="89"/>
      <c r="U122" s="89"/>
      <c r="V122" s="89"/>
      <c r="W122" s="88"/>
      <c r="X122" s="89"/>
      <c r="Y122" s="89"/>
      <c r="Z122" s="89"/>
      <c r="AA122" s="89"/>
      <c r="AB122" s="89"/>
      <c r="AC122" s="89"/>
      <c r="AD122" s="89"/>
      <c r="AE122" s="89"/>
      <c r="AF122" s="89"/>
      <c r="AG122" s="89"/>
      <c r="AH122" s="89"/>
    </row>
    <row r="123" spans="12:34" s="85" customFormat="1" x14ac:dyDescent="0.25">
      <c r="L123" s="89"/>
      <c r="M123" s="89"/>
      <c r="N123" s="89"/>
      <c r="O123" s="89"/>
      <c r="P123" s="89"/>
      <c r="Q123" s="89"/>
      <c r="R123" s="89"/>
      <c r="S123" s="89"/>
      <c r="T123" s="89"/>
      <c r="U123" s="89"/>
      <c r="V123" s="89"/>
      <c r="W123" s="88"/>
      <c r="X123" s="89"/>
      <c r="Y123" s="89"/>
      <c r="Z123" s="89"/>
      <c r="AA123" s="89"/>
      <c r="AB123" s="89"/>
      <c r="AC123" s="89"/>
      <c r="AD123" s="89"/>
      <c r="AE123" s="89"/>
      <c r="AF123" s="89"/>
      <c r="AG123" s="89"/>
      <c r="AH123" s="89"/>
    </row>
    <row r="124" spans="12:34" s="85" customFormat="1" x14ac:dyDescent="0.25">
      <c r="L124" s="89"/>
      <c r="M124" s="89"/>
      <c r="N124" s="89"/>
      <c r="O124" s="89"/>
      <c r="P124" s="89"/>
      <c r="Q124" s="89"/>
      <c r="R124" s="89"/>
      <c r="S124" s="89"/>
      <c r="T124" s="89"/>
      <c r="U124" s="89"/>
      <c r="V124" s="89"/>
      <c r="W124" s="88"/>
      <c r="X124" s="89"/>
      <c r="Y124" s="89"/>
      <c r="Z124" s="89"/>
      <c r="AA124" s="89"/>
      <c r="AB124" s="89"/>
      <c r="AC124" s="89"/>
      <c r="AD124" s="89"/>
      <c r="AE124" s="89"/>
      <c r="AF124" s="89"/>
      <c r="AG124" s="89"/>
      <c r="AH124" s="89"/>
    </row>
    <row r="125" spans="12:34" s="85" customFormat="1" x14ac:dyDescent="0.25">
      <c r="L125" s="89"/>
      <c r="M125" s="89"/>
      <c r="N125" s="89"/>
      <c r="O125" s="89"/>
      <c r="P125" s="89"/>
      <c r="Q125" s="89"/>
      <c r="R125" s="89"/>
      <c r="S125" s="89"/>
      <c r="T125" s="89"/>
      <c r="U125" s="89"/>
      <c r="V125" s="89"/>
      <c r="W125" s="88"/>
      <c r="X125" s="89"/>
      <c r="Y125" s="89"/>
      <c r="Z125" s="89"/>
      <c r="AA125" s="89"/>
      <c r="AB125" s="89"/>
      <c r="AC125" s="89"/>
      <c r="AD125" s="89"/>
      <c r="AE125" s="89"/>
      <c r="AF125" s="89"/>
      <c r="AG125" s="89"/>
      <c r="AH125" s="89"/>
    </row>
    <row r="126" spans="12:34" s="85" customFormat="1" x14ac:dyDescent="0.25">
      <c r="L126" s="89"/>
      <c r="M126" s="89"/>
      <c r="N126" s="89"/>
      <c r="O126" s="89"/>
      <c r="P126" s="89"/>
      <c r="Q126" s="89"/>
      <c r="R126" s="89"/>
      <c r="S126" s="89"/>
      <c r="T126" s="89"/>
      <c r="U126" s="89"/>
      <c r="V126" s="89"/>
      <c r="W126" s="88"/>
      <c r="X126" s="89"/>
      <c r="Y126" s="89"/>
      <c r="Z126" s="89"/>
      <c r="AA126" s="89"/>
      <c r="AB126" s="89"/>
      <c r="AC126" s="89"/>
      <c r="AD126" s="89"/>
      <c r="AE126" s="89"/>
      <c r="AF126" s="89"/>
      <c r="AG126" s="89"/>
      <c r="AH126" s="89"/>
    </row>
    <row r="127" spans="12:34" s="85" customFormat="1" x14ac:dyDescent="0.25">
      <c r="L127" s="89"/>
      <c r="M127" s="89"/>
      <c r="N127" s="89"/>
      <c r="O127" s="89"/>
      <c r="P127" s="89"/>
      <c r="Q127" s="89"/>
      <c r="R127" s="89"/>
      <c r="S127" s="89"/>
      <c r="T127" s="89"/>
      <c r="U127" s="89"/>
      <c r="V127" s="89"/>
      <c r="W127" s="88"/>
      <c r="X127" s="89"/>
      <c r="Y127" s="89"/>
      <c r="Z127" s="89"/>
      <c r="AA127" s="89"/>
      <c r="AB127" s="89"/>
      <c r="AC127" s="89"/>
      <c r="AD127" s="89"/>
      <c r="AE127" s="89"/>
      <c r="AF127" s="89"/>
      <c r="AG127" s="89"/>
      <c r="AH127" s="89"/>
    </row>
    <row r="128" spans="12:34" s="85" customFormat="1" x14ac:dyDescent="0.25">
      <c r="L128" s="89"/>
      <c r="M128" s="89"/>
      <c r="N128" s="89"/>
      <c r="O128" s="89"/>
      <c r="P128" s="89"/>
      <c r="Q128" s="89"/>
      <c r="R128" s="89"/>
      <c r="S128" s="89"/>
      <c r="T128" s="89"/>
      <c r="U128" s="89"/>
      <c r="V128" s="89"/>
      <c r="W128" s="88"/>
      <c r="X128" s="89"/>
      <c r="Y128" s="89"/>
      <c r="Z128" s="89"/>
      <c r="AA128" s="89"/>
      <c r="AB128" s="89"/>
      <c r="AC128" s="89"/>
      <c r="AD128" s="89"/>
      <c r="AE128" s="89"/>
      <c r="AF128" s="89"/>
      <c r="AG128" s="89"/>
      <c r="AH128" s="89"/>
    </row>
    <row r="129" spans="12:34" s="85" customFormat="1" x14ac:dyDescent="0.25">
      <c r="L129" s="89"/>
      <c r="M129" s="89"/>
      <c r="N129" s="89"/>
      <c r="O129" s="89"/>
      <c r="P129" s="89"/>
      <c r="Q129" s="89"/>
      <c r="R129" s="89"/>
      <c r="S129" s="89"/>
      <c r="T129" s="89"/>
      <c r="U129" s="89"/>
      <c r="V129" s="89"/>
      <c r="W129" s="88"/>
      <c r="X129" s="89"/>
      <c r="Y129" s="89"/>
      <c r="Z129" s="89"/>
      <c r="AA129" s="89"/>
      <c r="AB129" s="89"/>
      <c r="AC129" s="89"/>
      <c r="AD129" s="89"/>
      <c r="AE129" s="89"/>
      <c r="AF129" s="89"/>
      <c r="AG129" s="89"/>
      <c r="AH129" s="89"/>
    </row>
    <row r="130" spans="12:34" s="85" customFormat="1" x14ac:dyDescent="0.25">
      <c r="L130" s="89"/>
      <c r="M130" s="89"/>
      <c r="N130" s="89"/>
      <c r="O130" s="89"/>
      <c r="P130" s="89"/>
      <c r="Q130" s="89"/>
      <c r="R130" s="89"/>
      <c r="S130" s="89"/>
      <c r="T130" s="89"/>
      <c r="U130" s="89"/>
      <c r="V130" s="89"/>
      <c r="W130" s="88"/>
      <c r="X130" s="89"/>
      <c r="Y130" s="89"/>
      <c r="Z130" s="89"/>
      <c r="AA130" s="89"/>
      <c r="AB130" s="89"/>
      <c r="AC130" s="89"/>
      <c r="AD130" s="89"/>
      <c r="AE130" s="89"/>
      <c r="AF130" s="89"/>
      <c r="AG130" s="89"/>
      <c r="AH130" s="89"/>
    </row>
    <row r="131" spans="12:34" s="85" customFormat="1" x14ac:dyDescent="0.25">
      <c r="L131" s="89"/>
      <c r="M131" s="89"/>
      <c r="N131" s="89"/>
      <c r="O131" s="89"/>
      <c r="P131" s="89"/>
      <c r="Q131" s="89"/>
      <c r="R131" s="89"/>
      <c r="S131" s="89"/>
      <c r="T131" s="89"/>
      <c r="U131" s="89"/>
      <c r="V131" s="89"/>
      <c r="W131" s="88"/>
      <c r="X131" s="89"/>
      <c r="Y131" s="89"/>
      <c r="Z131" s="89"/>
      <c r="AA131" s="89"/>
      <c r="AB131" s="89"/>
      <c r="AC131" s="89"/>
      <c r="AD131" s="89"/>
      <c r="AE131" s="89"/>
      <c r="AF131" s="89"/>
      <c r="AG131" s="89"/>
      <c r="AH131" s="89"/>
    </row>
  </sheetData>
  <sheetProtection algorithmName="SHA-512" hashValue="KXkM3vZYCJJeJL1S+VNubugmi3WiqE+NieRtU+N45MPgUyhIcaEK/KX+nGQDSE+cK0VCf5xtywYineNjjJWFRw==" saltValue="en4oFNVGjYWwpm7d2+fEnA==" spinCount="100000" sheet="1" objects="1" scenarios="1" selectLockedCells="1"/>
  <printOptions horizontalCentered="1" verticalCentered="1"/>
  <pageMargins left="0" right="0" top="0" bottom="0" header="0" footer="0"/>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Z131"/>
  <sheetViews>
    <sheetView zoomScale="50" zoomScaleNormal="50" zoomScaleSheetLayoutView="52" zoomScalePageLayoutView="28" workbookViewId="0">
      <selection activeCell="M1" sqref="M1:T1048576"/>
    </sheetView>
  </sheetViews>
  <sheetFormatPr defaultColWidth="21.140625" defaultRowHeight="15" x14ac:dyDescent="0.25"/>
  <cols>
    <col min="1" max="10" width="24.7109375" style="87" customWidth="1"/>
    <col min="11" max="11" width="21.28515625" style="87" customWidth="1"/>
    <col min="12" max="12" width="9.140625" style="89" customWidth="1"/>
    <col min="13" max="20" width="21.140625" style="89" hidden="1" customWidth="1"/>
    <col min="21" max="22" width="21.140625" style="89" customWidth="1"/>
    <col min="23" max="23" width="21.140625" style="88" customWidth="1"/>
    <col min="24" max="34" width="21.140625" style="89" customWidth="1"/>
    <col min="35" max="35" width="21.140625" style="85" customWidth="1"/>
    <col min="36" max="16384" width="21.140625" style="87"/>
  </cols>
  <sheetData>
    <row r="1" spans="1:52" s="86" customFormat="1" ht="24" customHeight="1" x14ac:dyDescent="0.25">
      <c r="A1" s="2"/>
      <c r="B1" s="2"/>
      <c r="C1" s="2"/>
      <c r="D1" s="2"/>
      <c r="E1" s="2"/>
      <c r="F1" s="2"/>
      <c r="G1" s="2"/>
      <c r="H1" s="2"/>
      <c r="I1" s="2"/>
      <c r="J1" s="2"/>
      <c r="K1" s="2"/>
      <c r="L1" s="148"/>
      <c r="M1" s="89" t="s">
        <v>298</v>
      </c>
      <c r="N1" s="89">
        <f>'Flow Rate Charts'!M35</f>
        <v>4</v>
      </c>
      <c r="O1" s="89"/>
      <c r="P1" s="89"/>
      <c r="Q1" s="89"/>
      <c r="R1" s="89"/>
      <c r="S1" s="89"/>
      <c r="T1" s="89"/>
      <c r="U1" s="89"/>
      <c r="V1" s="89"/>
      <c r="W1" s="88"/>
      <c r="X1" s="89"/>
      <c r="Y1" s="89"/>
      <c r="Z1" s="89"/>
      <c r="AA1" s="89"/>
      <c r="AB1" s="89"/>
      <c r="AC1" s="89"/>
      <c r="AD1" s="89"/>
      <c r="AE1" s="89"/>
      <c r="AF1" s="89"/>
      <c r="AG1" s="89"/>
      <c r="AH1" s="89"/>
      <c r="AI1" s="85"/>
      <c r="AJ1" s="85"/>
      <c r="AK1" s="85"/>
      <c r="AL1" s="85"/>
      <c r="AM1" s="85"/>
      <c r="AN1" s="85"/>
      <c r="AO1" s="85"/>
      <c r="AP1" s="85"/>
      <c r="AQ1" s="85"/>
      <c r="AR1" s="85"/>
      <c r="AS1" s="85"/>
      <c r="AT1" s="85"/>
      <c r="AU1" s="85"/>
      <c r="AV1" s="85"/>
      <c r="AW1" s="85"/>
      <c r="AX1" s="85"/>
      <c r="AY1" s="85"/>
      <c r="AZ1" s="85"/>
    </row>
    <row r="2" spans="1:52" s="86" customFormat="1" ht="24" customHeight="1" x14ac:dyDescent="0.25">
      <c r="A2" s="2"/>
      <c r="B2" s="2"/>
      <c r="C2" s="2"/>
      <c r="D2" s="2"/>
      <c r="E2" s="2"/>
      <c r="F2" s="2"/>
      <c r="G2" s="2"/>
      <c r="H2" s="2"/>
      <c r="I2" s="2"/>
      <c r="J2" s="2"/>
      <c r="K2" s="2"/>
      <c r="L2" s="148"/>
      <c r="M2" s="89" t="s">
        <v>290</v>
      </c>
      <c r="N2" s="89" t="str">
        <f>'Flow Rate Charts'!M37</f>
        <v xml:space="preserve"> </v>
      </c>
      <c r="O2" s="137" t="s">
        <v>283</v>
      </c>
      <c r="P2" s="318" t="str">
        <f>IF('2-Sizing'!G18=0, " -- ", IF('Flow Rate Charts'!M26=15,IF(N1=4, " ",CONCATENATE(N2,O2,))," "))</f>
        <v xml:space="preserve"> -- </v>
      </c>
      <c r="Q2" s="89" t="s">
        <v>295</v>
      </c>
      <c r="R2" s="318" t="str">
        <f>IF('Flow Rate Charts'!M26=15,CONCATENATE(P2, " x ",P5)," ")</f>
        <v xml:space="preserve"> </v>
      </c>
      <c r="S2" s="89" t="s">
        <v>316</v>
      </c>
      <c r="T2" s="318" t="str">
        <f>IF('Flow Rate Charts'!M26=11,CONCATENATE(R2, " ", S2)," ")</f>
        <v xml:space="preserve"> </v>
      </c>
      <c r="U2" s="89"/>
      <c r="V2" s="89"/>
      <c r="W2" s="88"/>
      <c r="X2" s="89"/>
      <c r="Y2" s="89"/>
      <c r="Z2" s="89"/>
      <c r="AA2" s="89"/>
      <c r="AB2" s="89"/>
      <c r="AC2" s="89"/>
      <c r="AD2" s="89"/>
      <c r="AE2" s="89"/>
      <c r="AF2" s="89"/>
      <c r="AG2" s="89"/>
      <c r="AH2" s="89"/>
      <c r="AI2" s="85"/>
      <c r="AJ2" s="85"/>
      <c r="AK2" s="85"/>
      <c r="AL2" s="85"/>
      <c r="AM2" s="85"/>
      <c r="AN2" s="85"/>
      <c r="AO2" s="85"/>
      <c r="AP2" s="85"/>
      <c r="AQ2" s="85"/>
      <c r="AR2" s="85"/>
      <c r="AS2" s="85"/>
      <c r="AT2" s="85"/>
      <c r="AU2" s="85"/>
      <c r="AV2" s="85"/>
      <c r="AW2" s="85"/>
      <c r="AX2" s="85"/>
      <c r="AY2" s="85"/>
      <c r="AZ2" s="85"/>
    </row>
    <row r="3" spans="1:52" s="86" customFormat="1" ht="24" customHeight="1" x14ac:dyDescent="0.25">
      <c r="A3" s="2"/>
      <c r="B3" s="2"/>
      <c r="C3" s="2"/>
      <c r="D3" s="2"/>
      <c r="E3" s="2"/>
      <c r="F3" s="2"/>
      <c r="G3" s="2"/>
      <c r="H3" s="2"/>
      <c r="I3" s="2"/>
      <c r="J3" s="2"/>
      <c r="K3" s="2"/>
      <c r="L3" s="148"/>
      <c r="M3" s="89" t="s">
        <v>289</v>
      </c>
      <c r="N3" s="89">
        <f>'2-Sizing'!$R$17</f>
        <v>1</v>
      </c>
      <c r="O3" s="137" t="s">
        <v>265</v>
      </c>
      <c r="P3" s="89" t="str">
        <f>IF('2-Sizing'!G18=0, " -- ", CONCATENATE(N3,O3,))</f>
        <v xml:space="preserve"> -- </v>
      </c>
      <c r="Q3" s="89"/>
      <c r="R3" s="89"/>
      <c r="S3" s="89"/>
      <c r="T3" s="89"/>
      <c r="U3" s="89"/>
      <c r="V3" s="89"/>
      <c r="W3" s="88"/>
      <c r="X3" s="89"/>
      <c r="Y3" s="89"/>
      <c r="Z3" s="89"/>
      <c r="AA3" s="89"/>
      <c r="AB3" s="89"/>
      <c r="AC3" s="89"/>
      <c r="AD3" s="89"/>
      <c r="AE3" s="89"/>
      <c r="AF3" s="89"/>
      <c r="AG3" s="89"/>
      <c r="AH3" s="89"/>
      <c r="AI3" s="85"/>
      <c r="AJ3" s="85"/>
      <c r="AK3" s="85"/>
      <c r="AL3" s="85"/>
      <c r="AM3" s="85"/>
      <c r="AN3" s="85"/>
      <c r="AO3" s="85"/>
      <c r="AP3" s="85"/>
      <c r="AQ3" s="85"/>
      <c r="AR3" s="85"/>
      <c r="AS3" s="85"/>
      <c r="AT3" s="85"/>
      <c r="AU3" s="85"/>
      <c r="AV3" s="85"/>
      <c r="AW3" s="85"/>
      <c r="AX3" s="85"/>
      <c r="AY3" s="85"/>
      <c r="AZ3" s="85"/>
    </row>
    <row r="4" spans="1:52" s="86" customFormat="1" ht="24" customHeight="1" x14ac:dyDescent="0.25">
      <c r="A4" s="2"/>
      <c r="B4" s="2"/>
      <c r="C4" s="2"/>
      <c r="D4" s="2"/>
      <c r="E4" s="2"/>
      <c r="F4" s="2"/>
      <c r="G4" s="2"/>
      <c r="H4" s="2"/>
      <c r="I4" s="2"/>
      <c r="J4" s="2"/>
      <c r="K4" s="2"/>
      <c r="L4" s="148"/>
      <c r="M4" s="89" t="s">
        <v>282</v>
      </c>
      <c r="N4" s="89">
        <v>29.5</v>
      </c>
      <c r="O4" s="137" t="s">
        <v>283</v>
      </c>
      <c r="P4" s="318" t="str">
        <f>IF('2-Sizing'!G18=0, " -- ", IF('Flow Rate Charts'!M26=15,CONCATENATE(N4,O4,)," "))</f>
        <v xml:space="preserve"> -- </v>
      </c>
      <c r="Q4" s="89"/>
      <c r="R4" s="89"/>
      <c r="S4" s="89"/>
      <c r="T4" s="89"/>
      <c r="U4" s="89"/>
      <c r="V4" s="89"/>
      <c r="W4" s="88"/>
      <c r="X4" s="89"/>
      <c r="Y4" s="89"/>
      <c r="Z4" s="89"/>
      <c r="AA4" s="89"/>
      <c r="AB4" s="89"/>
      <c r="AC4" s="89"/>
      <c r="AD4" s="89"/>
      <c r="AE4" s="89"/>
      <c r="AF4" s="89"/>
      <c r="AG4" s="89"/>
      <c r="AH4" s="89"/>
      <c r="AI4" s="85"/>
      <c r="AJ4" s="85"/>
      <c r="AK4" s="85"/>
      <c r="AL4" s="85"/>
      <c r="AM4" s="85"/>
      <c r="AN4" s="85"/>
      <c r="AO4" s="85"/>
      <c r="AP4" s="85"/>
      <c r="AQ4" s="85"/>
      <c r="AR4" s="85"/>
      <c r="AS4" s="85"/>
      <c r="AT4" s="85"/>
      <c r="AU4" s="85"/>
      <c r="AV4" s="85"/>
      <c r="AW4" s="85"/>
      <c r="AX4" s="85"/>
      <c r="AY4" s="85"/>
      <c r="AZ4" s="85"/>
    </row>
    <row r="5" spans="1:52" s="86" customFormat="1" ht="24" customHeight="1" x14ac:dyDescent="0.25">
      <c r="A5" s="2"/>
      <c r="B5" s="2"/>
      <c r="C5" s="2"/>
      <c r="D5" s="2"/>
      <c r="E5" s="2"/>
      <c r="F5" s="2"/>
      <c r="G5" s="2"/>
      <c r="H5" s="2"/>
      <c r="I5" s="2"/>
      <c r="J5" s="2"/>
      <c r="K5" s="2"/>
      <c r="L5" s="148"/>
      <c r="M5" s="136" t="s">
        <v>288</v>
      </c>
      <c r="N5" s="136">
        <f>'Flow Rate Charts'!M36</f>
        <v>48</v>
      </c>
      <c r="O5" s="137" t="str">
        <f>IF(N5=48, "-in Round", "-in")</f>
        <v>-in Round</v>
      </c>
      <c r="P5" s="89" t="str">
        <f>IF('2-Sizing'!G18=0, " -- ", CONCATENATE(N5,O5,))</f>
        <v xml:space="preserve"> -- </v>
      </c>
      <c r="Q5" s="89"/>
      <c r="R5" s="89"/>
      <c r="S5" s="89"/>
      <c r="T5" s="89"/>
      <c r="U5" s="89"/>
      <c r="V5" s="89"/>
      <c r="W5" s="88"/>
      <c r="X5" s="89"/>
      <c r="Y5" s="89"/>
      <c r="Z5" s="89"/>
      <c r="AA5" s="89"/>
      <c r="AB5" s="89"/>
      <c r="AC5" s="89"/>
      <c r="AD5" s="89"/>
      <c r="AE5" s="89"/>
      <c r="AF5" s="89"/>
      <c r="AG5" s="89"/>
      <c r="AH5" s="89"/>
      <c r="AI5" s="85"/>
      <c r="AJ5" s="85"/>
      <c r="AK5" s="85"/>
      <c r="AL5" s="85"/>
      <c r="AM5" s="85"/>
      <c r="AN5" s="85"/>
      <c r="AO5" s="85"/>
      <c r="AP5" s="85"/>
      <c r="AQ5" s="85"/>
      <c r="AR5" s="85"/>
      <c r="AS5" s="85"/>
      <c r="AT5" s="85"/>
      <c r="AU5" s="85"/>
      <c r="AV5" s="85"/>
      <c r="AW5" s="85"/>
      <c r="AX5" s="85"/>
      <c r="AY5" s="85"/>
      <c r="AZ5" s="85"/>
    </row>
    <row r="6" spans="1:52" s="86" customFormat="1" ht="24" customHeight="1" x14ac:dyDescent="0.25">
      <c r="A6" s="2"/>
      <c r="B6" s="2"/>
      <c r="C6" s="2"/>
      <c r="D6" s="2"/>
      <c r="E6" s="2"/>
      <c r="F6" s="2"/>
      <c r="G6" s="2"/>
      <c r="H6" s="2"/>
      <c r="I6" s="2"/>
      <c r="J6" s="2"/>
      <c r="K6" s="2"/>
      <c r="L6" s="148"/>
      <c r="M6" s="136" t="s">
        <v>293</v>
      </c>
      <c r="N6" s="136">
        <f>VLOOKUP($N$1,Performance!M13:Y21,11)</f>
        <v>15</v>
      </c>
      <c r="O6" s="137" t="s">
        <v>283</v>
      </c>
      <c r="P6" s="89" t="str">
        <f>IF('2-Sizing'!G18=0, " -- ",CONCATENATE(N6,O6))</f>
        <v xml:space="preserve"> -- </v>
      </c>
      <c r="Q6" s="89"/>
      <c r="R6" s="89"/>
      <c r="S6" s="89"/>
      <c r="T6" s="89"/>
      <c r="U6" s="89"/>
      <c r="V6" s="89"/>
      <c r="W6" s="88"/>
      <c r="X6" s="89"/>
      <c r="Y6" s="89"/>
      <c r="Z6" s="89"/>
      <c r="AA6" s="89"/>
      <c r="AB6" s="89"/>
      <c r="AC6" s="89"/>
      <c r="AD6" s="89"/>
      <c r="AE6" s="89"/>
      <c r="AF6" s="89"/>
      <c r="AG6" s="89"/>
      <c r="AH6" s="89"/>
      <c r="AI6" s="85"/>
      <c r="AJ6" s="85"/>
      <c r="AK6" s="85"/>
      <c r="AL6" s="85"/>
      <c r="AM6" s="85"/>
      <c r="AN6" s="85"/>
      <c r="AO6" s="85"/>
      <c r="AP6" s="85"/>
      <c r="AQ6" s="85"/>
      <c r="AR6" s="85"/>
      <c r="AS6" s="85"/>
      <c r="AT6" s="85"/>
      <c r="AU6" s="85"/>
      <c r="AV6" s="85"/>
      <c r="AW6" s="85"/>
      <c r="AX6" s="85"/>
      <c r="AY6" s="85"/>
      <c r="AZ6" s="85"/>
    </row>
    <row r="7" spans="1:52" s="86" customFormat="1" ht="24" customHeight="1" x14ac:dyDescent="0.25">
      <c r="A7" s="2"/>
      <c r="B7" s="2"/>
      <c r="C7" s="2"/>
      <c r="D7" s="2"/>
      <c r="E7" s="2"/>
      <c r="F7" s="2"/>
      <c r="G7" s="2"/>
      <c r="H7" s="2"/>
      <c r="I7" s="2"/>
      <c r="J7" s="2"/>
      <c r="K7" s="2"/>
      <c r="L7" s="148"/>
      <c r="M7" s="136" t="s">
        <v>319</v>
      </c>
      <c r="N7" s="371">
        <f>'3a-DWG 1-6 Modules (Online)'!N7</f>
        <v>5.6000000000000001E-2</v>
      </c>
      <c r="O7" s="362" t="str">
        <f>'3a-DWG 1-6 Modules (Online)'!O7</f>
        <v>-cfs</v>
      </c>
      <c r="P7" s="318" t="str">
        <f>IF('2-Sizing'!G18=0, " -- ",IF('Flow Rate Charts'!M26=15,CONCATENATE(N7,O7)," "))</f>
        <v xml:space="preserve"> -- </v>
      </c>
      <c r="Q7" s="89" t="s">
        <v>320</v>
      </c>
      <c r="R7" s="89">
        <f>57*N7</f>
        <v>3.1920000000000002</v>
      </c>
      <c r="S7" s="318" t="str">
        <f>IF('Flow Rate Charts'!M26=15,CONCATENATE(R7,O7)," ")</f>
        <v xml:space="preserve"> </v>
      </c>
      <c r="T7" s="89"/>
      <c r="U7" s="89"/>
      <c r="V7" s="89"/>
      <c r="W7" s="88"/>
      <c r="X7" s="89"/>
      <c r="Y7" s="89"/>
      <c r="Z7" s="89"/>
      <c r="AA7" s="89"/>
      <c r="AB7" s="89"/>
      <c r="AC7" s="89"/>
      <c r="AD7" s="89"/>
      <c r="AE7" s="89"/>
      <c r="AF7" s="89"/>
      <c r="AG7" s="89"/>
      <c r="AH7" s="89"/>
      <c r="AI7" s="85"/>
      <c r="AJ7" s="85"/>
      <c r="AK7" s="85"/>
      <c r="AL7" s="85"/>
      <c r="AM7" s="85"/>
      <c r="AN7" s="85"/>
      <c r="AO7" s="85"/>
      <c r="AP7" s="85"/>
      <c r="AQ7" s="85"/>
      <c r="AR7" s="85"/>
      <c r="AS7" s="85"/>
      <c r="AT7" s="85"/>
      <c r="AU7" s="85"/>
      <c r="AV7" s="85"/>
      <c r="AW7" s="85"/>
      <c r="AX7" s="85"/>
      <c r="AY7" s="85"/>
      <c r="AZ7" s="85"/>
    </row>
    <row r="8" spans="1:52" s="86" customFormat="1" ht="24" customHeight="1" x14ac:dyDescent="0.25">
      <c r="A8" s="2"/>
      <c r="B8" s="2"/>
      <c r="C8" s="2"/>
      <c r="D8" s="2"/>
      <c r="E8" s="2"/>
      <c r="F8" s="2"/>
      <c r="G8" s="2"/>
      <c r="H8" s="2"/>
      <c r="I8" s="2"/>
      <c r="J8" s="2"/>
      <c r="K8" s="2"/>
      <c r="L8" s="148"/>
      <c r="M8" s="136" t="s">
        <v>48</v>
      </c>
      <c r="N8" s="293">
        <f>IF(N1=4,ROUNDUP('2-Sizing'!V18,0), "Varies")</f>
        <v>0</v>
      </c>
      <c r="O8" s="137" t="str">
        <f>IF(N8="Varies", " ", "-gpm")</f>
        <v>-gpm</v>
      </c>
      <c r="P8" s="318" t="str">
        <f>IF('2-Sizing'!G18=0, " -- ",IF('Flow Rate Charts'!M26=15,CONCATENATE(N8,O8)," "))</f>
        <v xml:space="preserve"> -- </v>
      </c>
      <c r="Q8" s="89"/>
      <c r="R8" s="89"/>
      <c r="S8" s="89"/>
      <c r="T8" s="89"/>
      <c r="U8" s="89"/>
      <c r="V8" s="89"/>
      <c r="W8" s="88"/>
      <c r="X8" s="89"/>
      <c r="Y8" s="89"/>
      <c r="Z8" s="89"/>
      <c r="AA8" s="89"/>
      <c r="AB8" s="89"/>
      <c r="AC8" s="89"/>
      <c r="AD8" s="89"/>
      <c r="AE8" s="89"/>
      <c r="AF8" s="89"/>
      <c r="AG8" s="89"/>
      <c r="AH8" s="89"/>
      <c r="AI8" s="85"/>
      <c r="AJ8" s="85"/>
      <c r="AK8" s="85"/>
      <c r="AL8" s="85"/>
      <c r="AM8" s="85"/>
      <c r="AN8" s="85"/>
      <c r="AO8" s="85"/>
      <c r="AP8" s="85"/>
      <c r="AQ8" s="85"/>
      <c r="AR8" s="85"/>
      <c r="AS8" s="85"/>
      <c r="AT8" s="85"/>
      <c r="AU8" s="85"/>
      <c r="AV8" s="85"/>
      <c r="AW8" s="85"/>
      <c r="AX8" s="85"/>
      <c r="AY8" s="85"/>
      <c r="AZ8" s="85"/>
    </row>
    <row r="9" spans="1:52" s="86" customFormat="1" ht="24" customHeight="1" x14ac:dyDescent="0.25">
      <c r="A9" s="2"/>
      <c r="B9" s="2"/>
      <c r="C9" s="2"/>
      <c r="D9" s="2"/>
      <c r="E9" s="2"/>
      <c r="F9" s="2"/>
      <c r="G9" s="2"/>
      <c r="H9" s="2"/>
      <c r="I9" s="2"/>
      <c r="J9" s="2"/>
      <c r="K9" s="2"/>
      <c r="L9" s="148"/>
      <c r="M9" s="136" t="s">
        <v>294</v>
      </c>
      <c r="N9" s="293">
        <f>IF('Flow Rate Charts'!M35=4,15,36)</f>
        <v>15</v>
      </c>
      <c r="O9" s="137" t="s">
        <v>283</v>
      </c>
      <c r="P9" s="148" t="str">
        <f>IF('2-Sizing'!G18=0, " -- ",CONCATENATE(N9,O9))</f>
        <v xml:space="preserve"> -- </v>
      </c>
      <c r="Q9" s="89"/>
      <c r="R9" s="89"/>
      <c r="S9" s="89"/>
      <c r="T9" s="89"/>
      <c r="U9" s="89"/>
      <c r="V9" s="89"/>
      <c r="W9" s="88"/>
      <c r="X9" s="89"/>
      <c r="Y9" s="89"/>
      <c r="Z9" s="89"/>
      <c r="AA9" s="89"/>
      <c r="AB9" s="89"/>
      <c r="AC9" s="89"/>
      <c r="AD9" s="89"/>
      <c r="AE9" s="89"/>
      <c r="AF9" s="89"/>
      <c r="AG9" s="89"/>
      <c r="AH9" s="89"/>
      <c r="AI9" s="85"/>
      <c r="AJ9" s="85"/>
      <c r="AK9" s="85"/>
      <c r="AL9" s="85"/>
      <c r="AM9" s="85"/>
      <c r="AN9" s="85"/>
      <c r="AO9" s="85"/>
      <c r="AP9" s="85"/>
      <c r="AQ9" s="85"/>
      <c r="AR9" s="85"/>
      <c r="AS9" s="85"/>
      <c r="AT9" s="85"/>
      <c r="AU9" s="85"/>
      <c r="AV9" s="85"/>
      <c r="AW9" s="85"/>
      <c r="AX9" s="85"/>
      <c r="AY9" s="85"/>
      <c r="AZ9" s="85"/>
    </row>
    <row r="10" spans="1:52" s="86" customFormat="1" ht="24" customHeight="1" x14ac:dyDescent="0.25">
      <c r="A10" s="2"/>
      <c r="B10" s="2"/>
      <c r="C10" s="2"/>
      <c r="D10" s="2"/>
      <c r="E10" s="2"/>
      <c r="F10" s="2"/>
      <c r="G10" s="2"/>
      <c r="H10" s="2"/>
      <c r="I10" s="2"/>
      <c r="J10" s="2"/>
      <c r="K10" s="2"/>
      <c r="L10" s="148"/>
      <c r="M10" s="136" t="s">
        <v>49</v>
      </c>
      <c r="N10" s="311">
        <f>ROUND(VLOOKUP(N1,Performance!M13:U21,9),1)</f>
        <v>16.600000000000001</v>
      </c>
      <c r="O10" s="137" t="s">
        <v>301</v>
      </c>
      <c r="P10" s="318" t="str">
        <f>IF('2-Sizing'!G18=0, " -- ",IF('Flow Rate Charts'!M26=15,CONCATENATE(N10,O10)," "))</f>
        <v xml:space="preserve"> -- </v>
      </c>
      <c r="Q10" s="89"/>
      <c r="R10" s="89"/>
      <c r="S10" s="89"/>
      <c r="T10" s="89"/>
      <c r="U10" s="89"/>
      <c r="V10" s="89"/>
      <c r="W10" s="88"/>
      <c r="X10" s="89"/>
      <c r="Y10" s="89"/>
      <c r="Z10" s="89"/>
      <c r="AA10" s="89"/>
      <c r="AB10" s="89"/>
      <c r="AC10" s="89"/>
      <c r="AD10" s="89"/>
      <c r="AE10" s="89"/>
      <c r="AF10" s="89"/>
      <c r="AG10" s="89"/>
      <c r="AH10" s="89"/>
      <c r="AI10" s="85"/>
      <c r="AJ10" s="85"/>
      <c r="AK10" s="85"/>
      <c r="AL10" s="85"/>
      <c r="AM10" s="85"/>
      <c r="AN10" s="85"/>
      <c r="AO10" s="85"/>
      <c r="AP10" s="85"/>
      <c r="AQ10" s="85"/>
      <c r="AR10" s="85"/>
      <c r="AS10" s="85"/>
      <c r="AT10" s="85"/>
      <c r="AU10" s="85"/>
      <c r="AV10" s="85"/>
      <c r="AW10" s="85"/>
      <c r="AX10" s="85"/>
      <c r="AY10" s="85"/>
      <c r="AZ10" s="85"/>
    </row>
    <row r="11" spans="1:52" s="86" customFormat="1" ht="24" customHeight="1" x14ac:dyDescent="0.25">
      <c r="A11" s="2"/>
      <c r="B11" s="2"/>
      <c r="C11" s="2"/>
      <c r="D11" s="2"/>
      <c r="E11" s="2"/>
      <c r="F11" s="2"/>
      <c r="G11" s="2"/>
      <c r="H11" s="2"/>
      <c r="I11" s="2"/>
      <c r="J11" s="2"/>
      <c r="K11" s="2"/>
      <c r="L11" s="148"/>
      <c r="M11" s="136" t="s">
        <v>299</v>
      </c>
      <c r="N11" s="139">
        <f>ROUND(VLOOKUP(N1,Performance!M13:U21,8),1)</f>
        <v>50</v>
      </c>
      <c r="O11" s="137" t="s">
        <v>300</v>
      </c>
      <c r="P11" s="318" t="str">
        <f>IF('2-Sizing'!G18=0, " -- ",IF('Flow Rate Charts'!M26=15,CONCATENATE(N11,O11)," "))</f>
        <v xml:space="preserve"> -- </v>
      </c>
      <c r="Q11" s="89"/>
      <c r="R11" s="89"/>
      <c r="S11" s="89"/>
      <c r="T11" s="89"/>
      <c r="U11" s="89"/>
      <c r="V11" s="89"/>
      <c r="W11" s="88"/>
      <c r="X11" s="89"/>
      <c r="Y11" s="89"/>
      <c r="Z11" s="89"/>
      <c r="AA11" s="89"/>
      <c r="AB11" s="89"/>
      <c r="AC11" s="89"/>
      <c r="AD11" s="89"/>
      <c r="AE11" s="89"/>
      <c r="AF11" s="89"/>
      <c r="AG11" s="89"/>
      <c r="AH11" s="89"/>
      <c r="AI11" s="85"/>
      <c r="AJ11" s="85"/>
      <c r="AK11" s="85"/>
      <c r="AL11" s="85"/>
      <c r="AM11" s="85"/>
      <c r="AN11" s="85"/>
      <c r="AO11" s="85"/>
      <c r="AP11" s="85"/>
      <c r="AQ11" s="85"/>
      <c r="AR11" s="85"/>
      <c r="AS11" s="85"/>
      <c r="AT11" s="85"/>
      <c r="AU11" s="85"/>
      <c r="AV11" s="85"/>
      <c r="AW11" s="85"/>
      <c r="AX11" s="85"/>
      <c r="AY11" s="85"/>
      <c r="AZ11" s="85"/>
    </row>
    <row r="12" spans="1:52" s="86" customFormat="1" ht="24" customHeight="1" x14ac:dyDescent="0.25">
      <c r="A12" s="2"/>
      <c r="B12" s="2"/>
      <c r="C12" s="2"/>
      <c r="D12" s="2"/>
      <c r="E12" s="2"/>
      <c r="F12" s="2"/>
      <c r="G12" s="2"/>
      <c r="H12" s="2"/>
      <c r="I12" s="2"/>
      <c r="J12" s="2"/>
      <c r="K12" s="2"/>
      <c r="L12" s="148"/>
      <c r="M12" s="136" t="s">
        <v>52</v>
      </c>
      <c r="N12" s="136">
        <v>5</v>
      </c>
      <c r="O12" s="137" t="s">
        <v>54</v>
      </c>
      <c r="P12" s="89" t="str">
        <f>IF('2-Sizing'!G18=0, " -- ",CONCATENATE("Min. ",N12,O12))</f>
        <v xml:space="preserve"> -- </v>
      </c>
      <c r="Q12" s="89" t="str">
        <f>IF('2-Sizing'!G18=0, " -- ",CONCATENATE(N12,O12))</f>
        <v xml:space="preserve"> -- </v>
      </c>
      <c r="R12" s="89"/>
      <c r="S12" s="89"/>
      <c r="T12" s="89"/>
      <c r="U12" s="89"/>
      <c r="V12" s="89"/>
      <c r="W12" s="88"/>
      <c r="X12" s="89"/>
      <c r="Y12" s="89"/>
      <c r="Z12" s="89"/>
      <c r="AA12" s="89"/>
      <c r="AB12" s="89"/>
      <c r="AC12" s="89"/>
      <c r="AD12" s="89"/>
      <c r="AE12" s="89"/>
      <c r="AF12" s="89"/>
      <c r="AG12" s="89"/>
      <c r="AH12" s="89"/>
      <c r="AI12" s="85"/>
      <c r="AJ12" s="85"/>
      <c r="AK12" s="85"/>
      <c r="AL12" s="85"/>
      <c r="AM12" s="85"/>
      <c r="AN12" s="85"/>
      <c r="AO12" s="85"/>
      <c r="AP12" s="85"/>
      <c r="AQ12" s="85"/>
      <c r="AR12" s="85"/>
      <c r="AS12" s="85"/>
      <c r="AT12" s="85"/>
      <c r="AU12" s="85"/>
      <c r="AV12" s="85"/>
      <c r="AW12" s="85"/>
      <c r="AX12" s="85"/>
      <c r="AY12" s="85"/>
      <c r="AZ12" s="85"/>
    </row>
    <row r="13" spans="1:52" s="86" customFormat="1" ht="24" customHeight="1" x14ac:dyDescent="0.25">
      <c r="A13" s="2"/>
      <c r="B13" s="2"/>
      <c r="C13" s="2"/>
      <c r="D13" s="2"/>
      <c r="E13" s="2"/>
      <c r="F13" s="2"/>
      <c r="G13" s="2"/>
      <c r="H13" s="2"/>
      <c r="I13" s="2"/>
      <c r="J13" s="2"/>
      <c r="K13" s="2"/>
      <c r="L13" s="148"/>
      <c r="M13" s="136" t="s">
        <v>53</v>
      </c>
      <c r="N13" s="136">
        <f>ROUND(VLOOKUP(N1,Performance!M13:U21,2),1)</f>
        <v>3</v>
      </c>
      <c r="O13" s="137" t="s">
        <v>54</v>
      </c>
      <c r="P13" s="89" t="str">
        <f>IF('2-Sizing'!G18=0, " -- ",CONCATENATE("Std. ",N13,O13))</f>
        <v xml:space="preserve"> -- </v>
      </c>
      <c r="Q13" s="89" t="str">
        <f>IF('2-Sizing'!G18=0, " -- ",CONCATENATE(N13,O13))</f>
        <v xml:space="preserve"> -- </v>
      </c>
      <c r="R13" s="89"/>
      <c r="S13" s="89"/>
      <c r="T13" s="89"/>
      <c r="U13" s="89"/>
      <c r="V13" s="89"/>
      <c r="W13" s="88"/>
      <c r="X13" s="89"/>
      <c r="Y13" s="89"/>
      <c r="Z13" s="89"/>
      <c r="AA13" s="89"/>
      <c r="AB13" s="89"/>
      <c r="AC13" s="89"/>
      <c r="AD13" s="89"/>
      <c r="AE13" s="89"/>
      <c r="AF13" s="89"/>
      <c r="AG13" s="89"/>
      <c r="AH13" s="89"/>
      <c r="AI13" s="85"/>
      <c r="AJ13" s="85"/>
      <c r="AK13" s="85"/>
      <c r="AL13" s="85"/>
      <c r="AM13" s="85"/>
      <c r="AN13" s="85"/>
      <c r="AO13" s="85"/>
      <c r="AP13" s="85"/>
      <c r="AQ13" s="85"/>
      <c r="AR13" s="85"/>
      <c r="AS13" s="85"/>
      <c r="AT13" s="85"/>
      <c r="AU13" s="85"/>
      <c r="AV13" s="85"/>
      <c r="AW13" s="85"/>
      <c r="AX13" s="85"/>
      <c r="AY13" s="85"/>
      <c r="AZ13" s="85"/>
    </row>
    <row r="14" spans="1:52" s="86" customFormat="1" ht="24" customHeight="1" x14ac:dyDescent="0.25">
      <c r="A14" s="2"/>
      <c r="B14" s="2"/>
      <c r="C14" s="2"/>
      <c r="D14" s="2"/>
      <c r="E14" s="2"/>
      <c r="F14" s="2"/>
      <c r="G14" s="2"/>
      <c r="H14" s="2"/>
      <c r="I14" s="2"/>
      <c r="J14" s="2"/>
      <c r="K14" s="2"/>
      <c r="L14" s="148"/>
      <c r="M14" s="136" t="s">
        <v>47</v>
      </c>
      <c r="N14" s="89">
        <f>'2-Sizing'!K20</f>
        <v>15</v>
      </c>
      <c r="O14" s="137" t="s">
        <v>283</v>
      </c>
      <c r="P14" s="318" t="str">
        <f>IF('2-Sizing'!G18=0, " -- ",IF('Flow Rate Charts'!M26=15,CONCATENATE(N14,O14)," "))</f>
        <v xml:space="preserve"> -- </v>
      </c>
      <c r="Q14" s="89"/>
      <c r="R14" s="89"/>
      <c r="S14" s="89"/>
      <c r="T14" s="89"/>
      <c r="U14" s="89"/>
      <c r="V14" s="89"/>
      <c r="W14" s="88"/>
      <c r="X14" s="89"/>
      <c r="Y14" s="89"/>
      <c r="Z14" s="89"/>
      <c r="AA14" s="89"/>
      <c r="AB14" s="89"/>
      <c r="AC14" s="89"/>
      <c r="AD14" s="89"/>
      <c r="AE14" s="89"/>
      <c r="AF14" s="89"/>
      <c r="AG14" s="89"/>
      <c r="AH14" s="89"/>
      <c r="AI14" s="85"/>
      <c r="AJ14" s="85"/>
      <c r="AK14" s="85"/>
      <c r="AL14" s="85"/>
      <c r="AM14" s="85"/>
      <c r="AN14" s="85"/>
      <c r="AO14" s="85"/>
      <c r="AP14" s="85"/>
      <c r="AQ14" s="85"/>
      <c r="AR14" s="85"/>
      <c r="AS14" s="85"/>
      <c r="AT14" s="85"/>
      <c r="AU14" s="85"/>
      <c r="AV14" s="85"/>
      <c r="AW14" s="85"/>
      <c r="AX14" s="85"/>
      <c r="AY14" s="85"/>
      <c r="AZ14" s="85"/>
    </row>
    <row r="15" spans="1:52" s="86" customFormat="1" ht="24" customHeight="1" x14ac:dyDescent="0.25">
      <c r="A15" s="2"/>
      <c r="B15" s="2"/>
      <c r="C15" s="2"/>
      <c r="D15" s="2"/>
      <c r="E15" s="2"/>
      <c r="F15" s="2"/>
      <c r="G15" s="2"/>
      <c r="H15" s="2"/>
      <c r="I15" s="2"/>
      <c r="J15" s="2"/>
      <c r="K15" s="2"/>
      <c r="L15" s="148"/>
      <c r="M15" s="136" t="s">
        <v>28</v>
      </c>
      <c r="N15" s="89" t="s">
        <v>55</v>
      </c>
      <c r="O15" s="89"/>
      <c r="P15" s="89"/>
      <c r="Q15" s="89"/>
      <c r="R15" s="89"/>
      <c r="S15" s="89"/>
      <c r="T15" s="89"/>
      <c r="U15" s="89"/>
      <c r="V15" s="89"/>
      <c r="W15" s="88"/>
      <c r="X15" s="89"/>
      <c r="Y15" s="89"/>
      <c r="Z15" s="89"/>
      <c r="AA15" s="89"/>
      <c r="AB15" s="89"/>
      <c r="AC15" s="89"/>
      <c r="AD15" s="89"/>
      <c r="AE15" s="89"/>
      <c r="AF15" s="89"/>
      <c r="AG15" s="89"/>
      <c r="AH15" s="89"/>
      <c r="AI15" s="85"/>
      <c r="AJ15" s="85"/>
      <c r="AK15" s="85"/>
      <c r="AL15" s="85"/>
      <c r="AM15" s="85"/>
      <c r="AN15" s="85"/>
      <c r="AO15" s="85"/>
      <c r="AP15" s="85"/>
      <c r="AQ15" s="85"/>
      <c r="AR15" s="85"/>
      <c r="AS15" s="85"/>
      <c r="AT15" s="85"/>
      <c r="AU15" s="85"/>
      <c r="AV15" s="85"/>
      <c r="AW15" s="85"/>
      <c r="AX15" s="85"/>
      <c r="AY15" s="85"/>
      <c r="AZ15" s="85"/>
    </row>
    <row r="16" spans="1:52" s="86" customFormat="1" ht="24" customHeight="1" x14ac:dyDescent="0.25">
      <c r="A16" s="2"/>
      <c r="B16" s="2"/>
      <c r="C16" s="2"/>
      <c r="D16" s="2"/>
      <c r="E16" s="2"/>
      <c r="F16" s="2"/>
      <c r="G16" s="2"/>
      <c r="H16" s="2"/>
      <c r="I16" s="2"/>
      <c r="J16" s="2"/>
      <c r="K16" s="2"/>
      <c r="L16" s="148"/>
      <c r="M16" s="89"/>
      <c r="N16" s="89" t="s">
        <v>345</v>
      </c>
      <c r="O16" s="89"/>
      <c r="P16" s="89"/>
      <c r="Q16" s="89"/>
      <c r="R16" s="89"/>
      <c r="S16" s="89"/>
      <c r="T16" s="89"/>
      <c r="U16" s="89"/>
      <c r="V16" s="89"/>
      <c r="W16" s="88"/>
      <c r="X16" s="89"/>
      <c r="Y16" s="89"/>
      <c r="Z16" s="89"/>
      <c r="AA16" s="89"/>
      <c r="AB16" s="89"/>
      <c r="AC16" s="89"/>
      <c r="AD16" s="89"/>
      <c r="AE16" s="89"/>
      <c r="AF16" s="89"/>
      <c r="AG16" s="89"/>
      <c r="AH16" s="89"/>
      <c r="AI16" s="85"/>
      <c r="AJ16" s="85"/>
      <c r="AK16" s="85"/>
      <c r="AL16" s="85"/>
      <c r="AM16" s="85"/>
      <c r="AN16" s="85"/>
      <c r="AO16" s="85"/>
      <c r="AP16" s="85"/>
      <c r="AQ16" s="85"/>
      <c r="AR16" s="85"/>
      <c r="AS16" s="85"/>
      <c r="AT16" s="85"/>
      <c r="AU16" s="85"/>
      <c r="AV16" s="85"/>
      <c r="AW16" s="85"/>
      <c r="AX16" s="85"/>
      <c r="AY16" s="85"/>
      <c r="AZ16" s="85"/>
    </row>
    <row r="17" spans="1:52" s="86" customFormat="1" ht="24" customHeight="1" x14ac:dyDescent="0.25">
      <c r="A17" s="2"/>
      <c r="B17" s="2"/>
      <c r="C17" s="2"/>
      <c r="D17" s="2"/>
      <c r="E17" s="2"/>
      <c r="F17" s="2"/>
      <c r="G17" s="2"/>
      <c r="H17" s="2"/>
      <c r="I17" s="2"/>
      <c r="J17" s="2"/>
      <c r="K17" s="2"/>
      <c r="L17" s="148"/>
      <c r="M17" s="89"/>
      <c r="N17" s="89" t="s">
        <v>56</v>
      </c>
      <c r="O17" s="89"/>
      <c r="P17" s="89"/>
      <c r="Q17" s="89"/>
      <c r="R17" s="89"/>
      <c r="S17" s="89"/>
      <c r="T17" s="89"/>
      <c r="U17" s="89"/>
      <c r="V17" s="89"/>
      <c r="W17" s="88"/>
      <c r="X17" s="89"/>
      <c r="Y17" s="89"/>
      <c r="Z17" s="89"/>
      <c r="AA17" s="89"/>
      <c r="AB17" s="89"/>
      <c r="AC17" s="89"/>
      <c r="AD17" s="89"/>
      <c r="AE17" s="89"/>
      <c r="AF17" s="89"/>
      <c r="AG17" s="89"/>
      <c r="AH17" s="89"/>
      <c r="AI17" s="85"/>
      <c r="AJ17" s="85"/>
      <c r="AK17" s="85"/>
      <c r="AL17" s="85"/>
      <c r="AM17" s="85"/>
      <c r="AN17" s="85"/>
      <c r="AO17" s="85"/>
      <c r="AP17" s="85"/>
      <c r="AQ17" s="85"/>
      <c r="AR17" s="85"/>
      <c r="AS17" s="85"/>
      <c r="AT17" s="85"/>
      <c r="AU17" s="85"/>
      <c r="AV17" s="85"/>
      <c r="AW17" s="85"/>
      <c r="AX17" s="85"/>
      <c r="AY17" s="85"/>
      <c r="AZ17" s="85"/>
    </row>
    <row r="18" spans="1:52" s="86" customFormat="1" ht="24" customHeight="1" x14ac:dyDescent="0.25">
      <c r="A18" s="2"/>
      <c r="B18" s="2"/>
      <c r="C18" s="2"/>
      <c r="D18" s="2"/>
      <c r="E18" s="2"/>
      <c r="F18" s="2"/>
      <c r="G18" s="2"/>
      <c r="H18" s="2"/>
      <c r="I18" s="2"/>
      <c r="J18" s="2"/>
      <c r="K18" s="2"/>
      <c r="L18" s="148"/>
      <c r="M18" s="89" t="s">
        <v>313</v>
      </c>
      <c r="N18" s="89">
        <v>39</v>
      </c>
      <c r="O18" s="89">
        <v>57</v>
      </c>
      <c r="P18" s="318" t="str">
        <f>IF('Flow Rate Charts'!M26=15,CONCATENATE(N18, " to ",O18)," ")</f>
        <v xml:space="preserve"> </v>
      </c>
      <c r="Q18" s="89"/>
      <c r="R18" s="89"/>
      <c r="S18" s="89"/>
      <c r="T18" s="89"/>
      <c r="U18" s="89"/>
      <c r="V18" s="89"/>
      <c r="W18" s="88"/>
      <c r="X18" s="89"/>
      <c r="Y18" s="89"/>
      <c r="Z18" s="89"/>
      <c r="AA18" s="89"/>
      <c r="AB18" s="89"/>
      <c r="AC18" s="89"/>
      <c r="AD18" s="89"/>
      <c r="AE18" s="89"/>
      <c r="AF18" s="89"/>
      <c r="AG18" s="89"/>
      <c r="AH18" s="89"/>
      <c r="AI18" s="85"/>
      <c r="AJ18" s="85"/>
      <c r="AK18" s="85"/>
      <c r="AL18" s="85"/>
      <c r="AM18" s="85"/>
      <c r="AN18" s="85"/>
      <c r="AO18" s="85"/>
      <c r="AP18" s="85"/>
      <c r="AQ18" s="85"/>
      <c r="AR18" s="85"/>
      <c r="AS18" s="85"/>
      <c r="AT18" s="85"/>
      <c r="AU18" s="85"/>
      <c r="AV18" s="85"/>
      <c r="AW18" s="85"/>
      <c r="AX18" s="85"/>
      <c r="AY18" s="85"/>
      <c r="AZ18" s="85"/>
    </row>
    <row r="19" spans="1:52" s="86" customFormat="1" ht="24" customHeight="1" x14ac:dyDescent="0.25">
      <c r="A19" s="2"/>
      <c r="B19" s="2"/>
      <c r="C19" s="2"/>
      <c r="D19" s="2"/>
      <c r="E19" s="2"/>
      <c r="F19" s="2"/>
      <c r="G19" s="2"/>
      <c r="H19" s="2"/>
      <c r="I19" s="2"/>
      <c r="J19" s="2"/>
      <c r="K19" s="2"/>
      <c r="L19" s="148"/>
      <c r="M19" s="136" t="s">
        <v>120</v>
      </c>
      <c r="N19" s="367">
        <f>IF('2-Sizing'!$K$22=0,N12,(ROUND('2-Sizing'!$K$22,2)))</f>
        <v>5</v>
      </c>
      <c r="O19" s="317" t="str">
        <f>IF('2-Sizing'!G18=0, " -- ",IF('Flow Rate Charts'!M26=15,CONCATENATE(N19,"-ft")," "))</f>
        <v xml:space="preserve"> -- </v>
      </c>
      <c r="P19" s="89"/>
      <c r="Q19" s="89"/>
      <c r="R19" s="89"/>
      <c r="S19" s="89"/>
      <c r="T19" s="89"/>
      <c r="U19" s="89"/>
      <c r="V19" s="89"/>
      <c r="W19" s="88"/>
      <c r="X19" s="89"/>
      <c r="Y19" s="89"/>
      <c r="Z19" s="89"/>
      <c r="AA19" s="89"/>
      <c r="AB19" s="89"/>
      <c r="AC19" s="89"/>
      <c r="AD19" s="89"/>
      <c r="AE19" s="89"/>
      <c r="AF19" s="89"/>
      <c r="AG19" s="89"/>
      <c r="AH19" s="89"/>
      <c r="AI19" s="85"/>
      <c r="AJ19" s="85"/>
      <c r="AK19" s="85"/>
      <c r="AL19" s="85"/>
      <c r="AM19" s="85"/>
      <c r="AN19" s="85"/>
      <c r="AO19" s="85"/>
      <c r="AP19" s="85"/>
      <c r="AQ19" s="85"/>
      <c r="AR19" s="85"/>
      <c r="AS19" s="85"/>
      <c r="AT19" s="85"/>
      <c r="AU19" s="85"/>
      <c r="AV19" s="85"/>
      <c r="AW19" s="85"/>
      <c r="AX19" s="85"/>
      <c r="AY19" s="85"/>
      <c r="AZ19" s="85"/>
    </row>
    <row r="20" spans="1:52" s="86" customFormat="1" ht="24" customHeight="1" x14ac:dyDescent="0.25">
      <c r="A20" s="2"/>
      <c r="B20" s="2"/>
      <c r="C20" s="2"/>
      <c r="D20" s="2"/>
      <c r="E20" s="2"/>
      <c r="F20" s="2"/>
      <c r="G20" s="2"/>
      <c r="H20" s="2"/>
      <c r="I20" s="2"/>
      <c r="J20" s="2"/>
      <c r="K20" s="2"/>
      <c r="L20" s="148"/>
      <c r="M20" s="136" t="s">
        <v>119</v>
      </c>
      <c r="N20" s="140">
        <f>ROUND('2-Sizing'!$K$18,2)</f>
        <v>0</v>
      </c>
      <c r="O20" s="317" t="str">
        <f>IF('2-Sizing'!G18=0, " -- ",IF('Flow Rate Charts'!M26=15,CONCATENATE(N20,"-ft")," "))</f>
        <v xml:space="preserve"> -- </v>
      </c>
      <c r="P20" s="227" t="str">
        <f>IF('2-Sizing'!G18=0, " -- ",CONCATENATE("EL. = ",N20,"-ft."))</f>
        <v xml:space="preserve"> -- </v>
      </c>
      <c r="Q20" s="89"/>
      <c r="R20" s="89"/>
      <c r="S20" s="89"/>
      <c r="T20" s="89"/>
      <c r="U20" s="89"/>
      <c r="V20" s="89"/>
      <c r="W20" s="88"/>
      <c r="X20" s="89"/>
      <c r="Y20" s="89"/>
      <c r="Z20" s="89"/>
      <c r="AA20" s="89"/>
      <c r="AB20" s="89"/>
      <c r="AC20" s="89"/>
      <c r="AD20" s="89"/>
      <c r="AE20" s="89"/>
      <c r="AF20" s="89"/>
      <c r="AG20" s="89"/>
      <c r="AH20" s="89"/>
      <c r="AI20" s="85"/>
      <c r="AJ20" s="85"/>
      <c r="AK20" s="85"/>
      <c r="AL20" s="85"/>
      <c r="AM20" s="85"/>
      <c r="AN20" s="85"/>
      <c r="AO20" s="85"/>
      <c r="AP20" s="85"/>
      <c r="AQ20" s="85"/>
      <c r="AR20" s="85"/>
      <c r="AS20" s="85"/>
      <c r="AT20" s="85"/>
      <c r="AU20" s="85"/>
      <c r="AV20" s="85"/>
      <c r="AW20" s="85"/>
      <c r="AX20" s="85"/>
      <c r="AY20" s="85"/>
      <c r="AZ20" s="85"/>
    </row>
    <row r="21" spans="1:52" s="86" customFormat="1" ht="24" customHeight="1" x14ac:dyDescent="0.25">
      <c r="A21" s="2"/>
      <c r="B21" s="2"/>
      <c r="C21" s="2"/>
      <c r="D21" s="2"/>
      <c r="E21" s="2"/>
      <c r="F21" s="2"/>
      <c r="G21" s="2"/>
      <c r="H21" s="2"/>
      <c r="I21" s="2"/>
      <c r="J21" s="2"/>
      <c r="K21" s="2"/>
      <c r="L21" s="148"/>
      <c r="M21" s="136" t="s">
        <v>315</v>
      </c>
      <c r="N21" s="370">
        <f>ROUND(N22+2.8,2)</f>
        <v>-0.2</v>
      </c>
      <c r="O21" s="317" t="str">
        <f>IF('2-Sizing'!G18=0, " -- ",IF('Flow Rate Charts'!M26=15,CONCATENATE(N21,"-ft")," "))</f>
        <v xml:space="preserve"> -- </v>
      </c>
      <c r="P21" s="89"/>
      <c r="Q21" s="89"/>
      <c r="R21" s="89"/>
      <c r="S21" s="89"/>
      <c r="T21" s="89"/>
      <c r="U21" s="89"/>
      <c r="V21" s="89"/>
      <c r="W21" s="88"/>
      <c r="X21" s="89"/>
      <c r="Y21" s="89"/>
      <c r="Z21" s="89"/>
      <c r="AA21" s="89"/>
      <c r="AB21" s="89"/>
      <c r="AC21" s="89"/>
      <c r="AD21" s="89"/>
      <c r="AE21" s="89"/>
      <c r="AF21" s="89"/>
      <c r="AG21" s="89"/>
      <c r="AH21" s="89"/>
      <c r="AI21" s="85"/>
      <c r="AJ21" s="85"/>
      <c r="AK21" s="85"/>
      <c r="AL21" s="85"/>
      <c r="AM21" s="85"/>
      <c r="AN21" s="85"/>
      <c r="AO21" s="85"/>
      <c r="AP21" s="85"/>
      <c r="AQ21" s="85"/>
      <c r="AR21" s="85"/>
      <c r="AS21" s="85"/>
      <c r="AT21" s="85"/>
      <c r="AU21" s="85"/>
      <c r="AV21" s="85"/>
      <c r="AW21" s="85"/>
      <c r="AX21" s="85"/>
      <c r="AY21" s="85"/>
      <c r="AZ21" s="85"/>
    </row>
    <row r="22" spans="1:52" s="86" customFormat="1" ht="24" customHeight="1" x14ac:dyDescent="0.25">
      <c r="A22" s="2"/>
      <c r="B22" s="2"/>
      <c r="C22" s="2"/>
      <c r="D22" s="2"/>
      <c r="E22" s="2"/>
      <c r="F22" s="2"/>
      <c r="G22" s="2"/>
      <c r="H22" s="2"/>
      <c r="I22" s="2"/>
      <c r="J22" s="2"/>
      <c r="K22" s="2"/>
      <c r="L22" s="148"/>
      <c r="M22" s="136" t="s">
        <v>117</v>
      </c>
      <c r="N22" s="140">
        <f>ROUND(N20-N13,2)</f>
        <v>-3</v>
      </c>
      <c r="O22" s="319" t="str">
        <f>IF('2-Sizing'!G18=0, " -- ",IF('Flow Rate Charts'!M26=15,CONCATENATE(N22,"-ft")," "))</f>
        <v xml:space="preserve"> -- </v>
      </c>
      <c r="P22" s="89"/>
      <c r="Q22" s="89"/>
      <c r="R22" s="89"/>
      <c r="S22" s="89"/>
      <c r="T22" s="89"/>
      <c r="U22" s="89"/>
      <c r="V22" s="89"/>
      <c r="W22" s="88"/>
      <c r="X22" s="89"/>
      <c r="Y22" s="89"/>
      <c r="Z22" s="89"/>
      <c r="AA22" s="89"/>
      <c r="AB22" s="89"/>
      <c r="AC22" s="89"/>
      <c r="AD22" s="89"/>
      <c r="AE22" s="89"/>
      <c r="AF22" s="89"/>
      <c r="AG22" s="89"/>
      <c r="AH22" s="89"/>
      <c r="AI22" s="85"/>
      <c r="AJ22" s="85"/>
      <c r="AK22" s="85"/>
      <c r="AL22" s="85"/>
      <c r="AM22" s="85"/>
      <c r="AN22" s="85"/>
      <c r="AO22" s="85"/>
      <c r="AP22" s="85"/>
      <c r="AQ22" s="85"/>
      <c r="AR22" s="85"/>
      <c r="AS22" s="85"/>
      <c r="AT22" s="85"/>
      <c r="AU22" s="85"/>
      <c r="AV22" s="85"/>
      <c r="AW22" s="85"/>
      <c r="AX22" s="85"/>
      <c r="AY22" s="85"/>
      <c r="AZ22" s="85"/>
    </row>
    <row r="23" spans="1:52" s="86" customFormat="1" ht="24" customHeight="1" x14ac:dyDescent="0.25">
      <c r="A23" s="2"/>
      <c r="B23" s="2"/>
      <c r="C23" s="2"/>
      <c r="D23" s="2"/>
      <c r="E23" s="2"/>
      <c r="F23" s="2"/>
      <c r="G23" s="2"/>
      <c r="H23" s="2"/>
      <c r="I23" s="2"/>
      <c r="J23" s="2"/>
      <c r="K23" s="2"/>
      <c r="L23" s="148"/>
      <c r="M23" s="136" t="s">
        <v>123</v>
      </c>
      <c r="N23" s="140">
        <f>ROUND(N19-N20,2)</f>
        <v>5</v>
      </c>
      <c r="O23" s="138" t="str">
        <f>IF('2-Sizing'!G18=0, " -- ",CONCATENATE(N23,"-ft"))</f>
        <v xml:space="preserve"> -- </v>
      </c>
      <c r="P23" s="89"/>
      <c r="Q23" s="89"/>
      <c r="R23" s="89"/>
      <c r="S23" s="89"/>
      <c r="T23" s="89"/>
      <c r="U23" s="89"/>
      <c r="V23" s="89"/>
      <c r="W23" s="88"/>
      <c r="X23" s="89"/>
      <c r="Y23" s="89"/>
      <c r="Z23" s="89"/>
      <c r="AA23" s="89"/>
      <c r="AB23" s="89"/>
      <c r="AC23" s="89"/>
      <c r="AD23" s="89"/>
      <c r="AE23" s="89"/>
      <c r="AF23" s="89"/>
      <c r="AG23" s="89"/>
      <c r="AH23" s="89"/>
      <c r="AI23" s="85"/>
      <c r="AJ23" s="85"/>
      <c r="AK23" s="85"/>
      <c r="AL23" s="85"/>
      <c r="AM23" s="85"/>
      <c r="AN23" s="85"/>
      <c r="AO23" s="85"/>
      <c r="AP23" s="85"/>
      <c r="AQ23" s="85"/>
      <c r="AR23" s="85"/>
      <c r="AS23" s="85"/>
      <c r="AT23" s="85"/>
      <c r="AU23" s="85"/>
      <c r="AV23" s="85"/>
      <c r="AW23" s="85"/>
      <c r="AX23" s="85"/>
      <c r="AY23" s="85"/>
      <c r="AZ23" s="85"/>
    </row>
    <row r="24" spans="1:52" s="86" customFormat="1" ht="24" customHeight="1" x14ac:dyDescent="0.25">
      <c r="A24" s="2"/>
      <c r="B24" s="2"/>
      <c r="C24" s="2"/>
      <c r="D24" s="2"/>
      <c r="E24" s="2"/>
      <c r="F24" s="2"/>
      <c r="G24" s="2"/>
      <c r="H24" s="2"/>
      <c r="I24" s="2"/>
      <c r="J24" s="2"/>
      <c r="K24" s="2"/>
      <c r="L24" s="148"/>
      <c r="M24" s="89" t="s">
        <v>311</v>
      </c>
      <c r="N24" s="89">
        <v>15</v>
      </c>
      <c r="O24" s="137" t="s">
        <v>283</v>
      </c>
      <c r="P24" s="89" t="str">
        <f>IF('2-Sizing'!G18=0, " -- ",CONCATENATE(N24,O24))</f>
        <v xml:space="preserve"> -- </v>
      </c>
      <c r="Q24" s="89"/>
      <c r="R24" s="89"/>
      <c r="S24" s="89"/>
      <c r="T24" s="89"/>
      <c r="U24" s="89"/>
      <c r="V24" s="89"/>
      <c r="W24" s="88"/>
      <c r="X24" s="89"/>
      <c r="Y24" s="89"/>
      <c r="Z24" s="89"/>
      <c r="AA24" s="89"/>
      <c r="AB24" s="89"/>
      <c r="AC24" s="89"/>
      <c r="AD24" s="89"/>
      <c r="AE24" s="89"/>
      <c r="AF24" s="89"/>
      <c r="AG24" s="89"/>
      <c r="AH24" s="89"/>
      <c r="AI24" s="85"/>
      <c r="AJ24" s="85"/>
      <c r="AK24" s="85"/>
      <c r="AL24" s="85"/>
      <c r="AM24" s="85"/>
      <c r="AN24" s="85"/>
      <c r="AO24" s="85"/>
      <c r="AP24" s="85"/>
      <c r="AQ24" s="85"/>
      <c r="AR24" s="85"/>
      <c r="AS24" s="85"/>
      <c r="AT24" s="85"/>
      <c r="AU24" s="85"/>
      <c r="AV24" s="85"/>
      <c r="AW24" s="85"/>
      <c r="AX24" s="85"/>
      <c r="AY24" s="85"/>
      <c r="AZ24" s="85"/>
    </row>
    <row r="25" spans="1:52" s="86" customFormat="1" ht="24" customHeight="1" x14ac:dyDescent="0.25">
      <c r="A25" s="2"/>
      <c r="B25" s="2"/>
      <c r="C25" s="2"/>
      <c r="D25" s="2"/>
      <c r="E25" s="2"/>
      <c r="F25" s="2"/>
      <c r="G25" s="2"/>
      <c r="H25" s="2"/>
      <c r="I25" s="2"/>
      <c r="J25" s="2"/>
      <c r="K25" s="2"/>
      <c r="L25" s="148"/>
      <c r="M25" s="89" t="s">
        <v>312</v>
      </c>
      <c r="N25" s="89">
        <f>ROUNDUP(N20+(29.5/12),2)</f>
        <v>2.46</v>
      </c>
      <c r="O25" s="319" t="str">
        <f>IF('2-Sizing'!G18=0, " -- ",IF('Flow Rate Charts'!M26=15,CONCATENATE(N25,"-ft")," "))</f>
        <v xml:space="preserve"> -- </v>
      </c>
      <c r="P25" s="89">
        <f>ROUNDUP(N20+(43/12),2)</f>
        <v>3.59</v>
      </c>
      <c r="Q25" s="317" t="str">
        <f>IF('2-Sizing'!G18=0, " -- ",IF('Flow Rate Charts'!M26=15,CONCATENATE(P25,"-ft")," "))</f>
        <v xml:space="preserve"> -- </v>
      </c>
      <c r="R25" s="89"/>
      <c r="S25" s="89"/>
      <c r="T25" s="89"/>
      <c r="U25" s="89"/>
      <c r="V25" s="89"/>
      <c r="W25" s="88"/>
      <c r="X25" s="89"/>
      <c r="Y25" s="89"/>
      <c r="Z25" s="89"/>
      <c r="AA25" s="89"/>
      <c r="AB25" s="89"/>
      <c r="AC25" s="89"/>
      <c r="AD25" s="89"/>
      <c r="AE25" s="89"/>
      <c r="AF25" s="89"/>
      <c r="AG25" s="89"/>
      <c r="AH25" s="89"/>
      <c r="AI25" s="85"/>
      <c r="AJ25" s="85"/>
      <c r="AK25" s="85"/>
      <c r="AL25" s="85"/>
      <c r="AM25" s="85"/>
      <c r="AN25" s="85"/>
      <c r="AO25" s="85"/>
      <c r="AP25" s="85"/>
      <c r="AQ25" s="85"/>
      <c r="AR25" s="85"/>
      <c r="AS25" s="85"/>
      <c r="AT25" s="85"/>
      <c r="AU25" s="85"/>
      <c r="AV25" s="85"/>
      <c r="AW25" s="85"/>
      <c r="AX25" s="85"/>
      <c r="AY25" s="85"/>
      <c r="AZ25" s="85"/>
    </row>
    <row r="26" spans="1:52" s="86" customFormat="1" ht="24" customHeight="1" x14ac:dyDescent="0.25">
      <c r="A26" s="2"/>
      <c r="B26" s="2"/>
      <c r="C26" s="2"/>
      <c r="D26" s="2"/>
      <c r="E26" s="2"/>
      <c r="F26" s="2"/>
      <c r="G26" s="2"/>
      <c r="H26" s="2"/>
      <c r="I26" s="2"/>
      <c r="J26" s="2"/>
      <c r="K26" s="2"/>
      <c r="L26" s="148"/>
      <c r="M26" s="89" t="s">
        <v>317</v>
      </c>
      <c r="N26" s="140">
        <f>ROUND(2+(N19-N20),2)</f>
        <v>7</v>
      </c>
      <c r="O26" s="137">
        <f>N26*12</f>
        <v>84</v>
      </c>
      <c r="P26" s="320" t="str">
        <f>IF('Flow Rate Charts'!M26=15,CONCATENATE(O26, "-in")," ")</f>
        <v xml:space="preserve"> </v>
      </c>
      <c r="Q26" s="89"/>
      <c r="R26" s="89"/>
      <c r="S26" s="89"/>
      <c r="T26" s="89"/>
      <c r="U26" s="89"/>
      <c r="V26" s="89"/>
      <c r="W26" s="88"/>
      <c r="X26" s="89"/>
      <c r="Y26" s="89"/>
      <c r="Z26" s="89"/>
      <c r="AA26" s="89"/>
      <c r="AB26" s="89"/>
      <c r="AC26" s="89"/>
      <c r="AD26" s="89"/>
      <c r="AE26" s="89"/>
      <c r="AF26" s="89"/>
      <c r="AG26" s="89"/>
      <c r="AH26" s="89"/>
      <c r="AI26" s="85"/>
      <c r="AJ26" s="85"/>
      <c r="AK26" s="85"/>
      <c r="AL26" s="85"/>
      <c r="AM26" s="85"/>
      <c r="AN26" s="85"/>
      <c r="AO26" s="85"/>
      <c r="AP26" s="85"/>
      <c r="AQ26" s="85"/>
      <c r="AR26" s="85"/>
      <c r="AS26" s="85"/>
      <c r="AT26" s="85"/>
      <c r="AU26" s="85"/>
      <c r="AV26" s="85"/>
      <c r="AW26" s="85"/>
      <c r="AX26" s="85"/>
      <c r="AY26" s="85"/>
      <c r="AZ26" s="85"/>
    </row>
    <row r="27" spans="1:52" s="86" customFormat="1" ht="24" customHeight="1" x14ac:dyDescent="0.25">
      <c r="A27" s="2"/>
      <c r="B27" s="2"/>
      <c r="C27" s="2"/>
      <c r="D27" s="2"/>
      <c r="E27" s="2"/>
      <c r="F27" s="2"/>
      <c r="G27" s="2"/>
      <c r="H27" s="2"/>
      <c r="I27" s="2"/>
      <c r="J27" s="2"/>
      <c r="K27" s="2"/>
      <c r="L27" s="148"/>
      <c r="M27" s="89" t="s">
        <v>318</v>
      </c>
      <c r="N27" s="365" t="str">
        <f>IF('2-Sizing'!C19="St. Louis MSD (20 gpm/Filter Module)","Filter Sand", "CPZ Mix Media")</f>
        <v>CPZ Mix Media</v>
      </c>
      <c r="O27" s="89">
        <f>O26-8</f>
        <v>76</v>
      </c>
      <c r="P27" s="320" t="str">
        <f>IF('Flow Rate Charts'!M26=15,CONCATENATE(O27, "-in")," ")</f>
        <v xml:space="preserve"> </v>
      </c>
      <c r="Q27" s="89" t="str">
        <f>IF('Flow Rate Charts'!M26=15,N27," ")</f>
        <v xml:space="preserve"> </v>
      </c>
      <c r="R27" s="89"/>
      <c r="S27" s="89"/>
      <c r="T27" s="89"/>
      <c r="U27" s="89"/>
      <c r="V27" s="89"/>
      <c r="W27" s="88"/>
      <c r="X27" s="89"/>
      <c r="Y27" s="89"/>
      <c r="Z27" s="89"/>
      <c r="AA27" s="89"/>
      <c r="AB27" s="89"/>
      <c r="AC27" s="89"/>
      <c r="AD27" s="89"/>
      <c r="AE27" s="89"/>
      <c r="AF27" s="89"/>
      <c r="AG27" s="89"/>
      <c r="AH27" s="89"/>
      <c r="AI27" s="85"/>
      <c r="AJ27" s="85"/>
      <c r="AK27" s="85"/>
      <c r="AL27" s="85"/>
      <c r="AM27" s="85"/>
      <c r="AN27" s="85"/>
      <c r="AO27" s="85"/>
      <c r="AP27" s="85"/>
      <c r="AQ27" s="85"/>
      <c r="AR27" s="85"/>
      <c r="AS27" s="85"/>
      <c r="AT27" s="85"/>
      <c r="AU27" s="85"/>
      <c r="AV27" s="85"/>
      <c r="AW27" s="85"/>
      <c r="AX27" s="85"/>
      <c r="AY27" s="85"/>
      <c r="AZ27" s="85"/>
    </row>
    <row r="28" spans="1:52" s="86" customFormat="1" ht="24" customHeight="1" x14ac:dyDescent="0.25">
      <c r="A28" s="2"/>
      <c r="B28" s="2"/>
      <c r="C28" s="2"/>
      <c r="D28" s="2"/>
      <c r="E28" s="2"/>
      <c r="F28" s="2"/>
      <c r="G28" s="2"/>
      <c r="H28" s="2"/>
      <c r="I28" s="2"/>
      <c r="J28" s="2"/>
      <c r="K28" s="2"/>
      <c r="L28" s="148"/>
      <c r="M28" s="89" t="s">
        <v>324</v>
      </c>
      <c r="N28" s="370">
        <f>ROUND((N19*12)-(N20*12),2)</f>
        <v>60</v>
      </c>
      <c r="O28" s="319" t="str">
        <f>IF('2-Sizing'!G18=0, " -- ",IF('Flow Rate Charts'!M26=15,CONCATENATE(N28,"-in")," "))</f>
        <v xml:space="preserve"> -- </v>
      </c>
      <c r="P28" s="89"/>
      <c r="Q28" s="89"/>
      <c r="R28" s="89"/>
      <c r="S28" s="89"/>
      <c r="T28" s="89"/>
      <c r="U28" s="89"/>
      <c r="V28" s="89"/>
      <c r="W28" s="88"/>
      <c r="X28" s="89"/>
      <c r="Y28" s="89"/>
      <c r="Z28" s="89"/>
      <c r="AA28" s="89"/>
      <c r="AB28" s="89"/>
      <c r="AC28" s="89"/>
      <c r="AD28" s="89"/>
      <c r="AE28" s="89"/>
      <c r="AF28" s="89"/>
      <c r="AG28" s="89"/>
      <c r="AH28" s="89"/>
      <c r="AI28" s="85"/>
      <c r="AJ28" s="85"/>
      <c r="AK28" s="85"/>
      <c r="AL28" s="85"/>
      <c r="AM28" s="85"/>
      <c r="AN28" s="85"/>
      <c r="AO28" s="85"/>
      <c r="AP28" s="85"/>
      <c r="AQ28" s="85"/>
      <c r="AR28" s="85"/>
      <c r="AS28" s="85"/>
      <c r="AT28" s="85"/>
      <c r="AU28" s="85"/>
      <c r="AV28" s="85"/>
      <c r="AW28" s="85"/>
      <c r="AX28" s="85"/>
      <c r="AY28" s="85"/>
      <c r="AZ28" s="85"/>
    </row>
    <row r="29" spans="1:52" s="86" customFormat="1" ht="24" customHeight="1" x14ac:dyDescent="0.25">
      <c r="A29" s="2"/>
      <c r="B29" s="2"/>
      <c r="C29" s="2"/>
      <c r="D29" s="2"/>
      <c r="E29" s="2"/>
      <c r="F29" s="2"/>
      <c r="G29" s="2"/>
      <c r="H29" s="2"/>
      <c r="I29" s="2"/>
      <c r="J29" s="2"/>
      <c r="K29" s="2"/>
      <c r="L29" s="148"/>
      <c r="M29" s="89" t="s">
        <v>332</v>
      </c>
      <c r="N29" s="89" t="str">
        <f>IF('Flow Rate Charts'!M26=4,"Hydro International Does Not Recommend Use of This Drawing for the Design Parameters Entered. Use DWG 1-6 Modules (Online) on Tab 3a.",IF('Flow Rate Charts'!M26=7,"Hydro International Does Not Recommend Use of This Drawing for the Design Parameters Entered. Use DWG 1-7 Mods (On or Offline) on Tab 3b.", IF('Flow Rate Charts'!M26=10.5,"Hydro International Does Not Recommend the Use of This Drawing. Use DWG 8-19 Mods (On or Offline) on Worksheet 3c instead. ", IF('Flow Rate Charts'!M26=11, "Hydro International Does Not Recommend the Use of This Drawing. Use DWG 20-38 Mods (On or Offline) on Worksheet 3d instead. ", IF('Flow Rate Charts'!M26=15," ", " ")))))</f>
        <v>Hydro International Does Not Recommend Use of This Drawing for the Design Parameters Entered. Use DWG 1-6 Modules (Online) on Tab 3a.</v>
      </c>
      <c r="O29" s="89"/>
      <c r="P29" s="89"/>
      <c r="Q29" s="89"/>
      <c r="R29" s="89"/>
      <c r="S29" s="89"/>
      <c r="T29" s="89"/>
      <c r="U29" s="89"/>
      <c r="V29" s="89"/>
      <c r="W29" s="88"/>
      <c r="X29" s="89"/>
      <c r="Y29" s="89"/>
      <c r="Z29" s="89"/>
      <c r="AA29" s="89"/>
      <c r="AB29" s="89"/>
      <c r="AC29" s="89"/>
      <c r="AD29" s="89"/>
      <c r="AE29" s="89"/>
      <c r="AF29" s="89"/>
      <c r="AG29" s="89"/>
      <c r="AH29" s="89"/>
      <c r="AI29" s="85"/>
      <c r="AJ29" s="85"/>
      <c r="AK29" s="85"/>
      <c r="AL29" s="85"/>
      <c r="AM29" s="85"/>
      <c r="AN29" s="85"/>
      <c r="AO29" s="85"/>
      <c r="AP29" s="85"/>
      <c r="AQ29" s="85"/>
      <c r="AR29" s="85"/>
      <c r="AS29" s="85"/>
      <c r="AT29" s="85"/>
      <c r="AU29" s="85"/>
      <c r="AV29" s="85"/>
      <c r="AW29" s="85"/>
      <c r="AX29" s="85"/>
      <c r="AY29" s="85"/>
      <c r="AZ29" s="85"/>
    </row>
    <row r="30" spans="1:52" s="86" customFormat="1" ht="24" customHeight="1" x14ac:dyDescent="0.25">
      <c r="A30" s="2"/>
      <c r="B30" s="2"/>
      <c r="C30" s="2"/>
      <c r="D30" s="2"/>
      <c r="E30" s="2"/>
      <c r="F30" s="2"/>
      <c r="G30" s="2"/>
      <c r="H30" s="2"/>
      <c r="I30" s="2"/>
      <c r="J30" s="2"/>
      <c r="K30" s="2"/>
      <c r="L30" s="148"/>
      <c r="M30" s="89"/>
      <c r="N30" s="89"/>
      <c r="O30" s="89"/>
      <c r="P30" s="89"/>
      <c r="Q30" s="89"/>
      <c r="R30" s="89"/>
      <c r="S30" s="89"/>
      <c r="T30" s="89"/>
      <c r="U30" s="89"/>
      <c r="V30" s="89"/>
      <c r="W30" s="88"/>
      <c r="X30" s="89"/>
      <c r="Y30" s="89"/>
      <c r="Z30" s="89"/>
      <c r="AA30" s="89"/>
      <c r="AB30" s="89"/>
      <c r="AC30" s="89"/>
      <c r="AD30" s="89"/>
      <c r="AE30" s="89"/>
      <c r="AF30" s="89"/>
      <c r="AG30" s="89"/>
      <c r="AH30" s="89"/>
      <c r="AI30" s="85"/>
      <c r="AJ30" s="85"/>
      <c r="AK30" s="85"/>
      <c r="AL30" s="85"/>
      <c r="AM30" s="85"/>
      <c r="AN30" s="85"/>
      <c r="AO30" s="85"/>
      <c r="AP30" s="85"/>
      <c r="AQ30" s="85"/>
      <c r="AR30" s="85"/>
      <c r="AS30" s="85"/>
      <c r="AT30" s="85"/>
      <c r="AU30" s="85"/>
      <c r="AV30" s="85"/>
      <c r="AW30" s="85"/>
      <c r="AX30" s="85"/>
      <c r="AY30" s="85"/>
      <c r="AZ30" s="85"/>
    </row>
    <row r="31" spans="1:52" s="86" customFormat="1" ht="24" customHeight="1" x14ac:dyDescent="0.25">
      <c r="A31" s="2"/>
      <c r="B31" s="2"/>
      <c r="C31" s="2"/>
      <c r="D31" s="2"/>
      <c r="E31" s="2"/>
      <c r="F31" s="2"/>
      <c r="G31" s="2"/>
      <c r="H31" s="2"/>
      <c r="I31" s="2"/>
      <c r="J31" s="2"/>
      <c r="K31" s="2"/>
      <c r="L31" s="148"/>
      <c r="M31" s="89"/>
      <c r="N31" s="89"/>
      <c r="O31" s="89"/>
      <c r="P31" s="89"/>
      <c r="Q31" s="89"/>
      <c r="R31" s="89"/>
      <c r="S31" s="89"/>
      <c r="T31" s="89"/>
      <c r="U31" s="89"/>
      <c r="V31" s="89"/>
      <c r="W31" s="88"/>
      <c r="X31" s="89"/>
      <c r="Y31" s="89"/>
      <c r="Z31" s="89"/>
      <c r="AA31" s="89"/>
      <c r="AB31" s="89"/>
      <c r="AC31" s="89"/>
      <c r="AD31" s="89"/>
      <c r="AE31" s="89"/>
      <c r="AF31" s="89"/>
      <c r="AG31" s="89"/>
      <c r="AH31" s="89"/>
      <c r="AI31" s="85"/>
      <c r="AJ31" s="85"/>
      <c r="AK31" s="85"/>
      <c r="AL31" s="85"/>
      <c r="AM31" s="85"/>
      <c r="AN31" s="85"/>
      <c r="AO31" s="85"/>
      <c r="AP31" s="85"/>
      <c r="AQ31" s="85"/>
      <c r="AR31" s="85"/>
      <c r="AS31" s="85"/>
      <c r="AT31" s="85"/>
      <c r="AU31" s="85"/>
      <c r="AV31" s="85"/>
      <c r="AW31" s="85"/>
      <c r="AX31" s="85"/>
      <c r="AY31" s="85"/>
      <c r="AZ31" s="85"/>
    </row>
    <row r="32" spans="1:52" s="86" customFormat="1" ht="24" customHeight="1" x14ac:dyDescent="0.25">
      <c r="A32" s="2"/>
      <c r="B32" s="2"/>
      <c r="C32" s="2"/>
      <c r="D32" s="2"/>
      <c r="E32" s="2"/>
      <c r="F32" s="2"/>
      <c r="G32" s="2"/>
      <c r="H32" s="2"/>
      <c r="I32" s="2"/>
      <c r="J32" s="2"/>
      <c r="K32" s="2"/>
      <c r="L32" s="148"/>
      <c r="M32" s="89"/>
      <c r="N32" s="89"/>
      <c r="O32" s="89"/>
      <c r="P32" s="89"/>
      <c r="Q32" s="89"/>
      <c r="R32" s="89"/>
      <c r="S32" s="89"/>
      <c r="T32" s="89"/>
      <c r="U32" s="89"/>
      <c r="V32" s="89"/>
      <c r="W32" s="88"/>
      <c r="X32" s="89"/>
      <c r="Y32" s="89"/>
      <c r="Z32" s="89"/>
      <c r="AA32" s="89"/>
      <c r="AB32" s="89"/>
      <c r="AC32" s="89"/>
      <c r="AD32" s="89"/>
      <c r="AE32" s="89"/>
      <c r="AF32" s="89"/>
      <c r="AG32" s="89"/>
      <c r="AH32" s="89"/>
      <c r="AI32" s="85"/>
      <c r="AJ32" s="85"/>
      <c r="AK32" s="85"/>
      <c r="AL32" s="85"/>
      <c r="AM32" s="85"/>
      <c r="AN32" s="85"/>
      <c r="AO32" s="85"/>
      <c r="AP32" s="85"/>
      <c r="AQ32" s="85"/>
      <c r="AR32" s="85"/>
      <c r="AS32" s="85"/>
      <c r="AT32" s="85"/>
      <c r="AU32" s="85"/>
      <c r="AV32" s="85"/>
      <c r="AW32" s="85"/>
      <c r="AX32" s="85"/>
      <c r="AY32" s="85"/>
      <c r="AZ32" s="85"/>
    </row>
    <row r="33" spans="1:52" s="86" customFormat="1" ht="24" customHeight="1" x14ac:dyDescent="0.25">
      <c r="A33" s="2"/>
      <c r="B33" s="2"/>
      <c r="C33" s="2"/>
      <c r="D33" s="2"/>
      <c r="E33" s="2"/>
      <c r="F33" s="2"/>
      <c r="G33" s="2"/>
      <c r="H33" s="2"/>
      <c r="I33" s="2"/>
      <c r="J33" s="2"/>
      <c r="K33" s="2"/>
      <c r="L33" s="148"/>
      <c r="M33" s="89"/>
      <c r="N33" s="89"/>
      <c r="O33" s="89"/>
      <c r="P33" s="89"/>
      <c r="Q33" s="89"/>
      <c r="R33" s="89"/>
      <c r="S33" s="89"/>
      <c r="T33" s="89"/>
      <c r="U33" s="89"/>
      <c r="V33" s="89"/>
      <c r="W33" s="88"/>
      <c r="X33" s="89"/>
      <c r="Y33" s="89"/>
      <c r="Z33" s="89"/>
      <c r="AA33" s="89"/>
      <c r="AB33" s="89"/>
      <c r="AC33" s="89"/>
      <c r="AD33" s="89"/>
      <c r="AE33" s="89"/>
      <c r="AF33" s="89"/>
      <c r="AG33" s="89"/>
      <c r="AH33" s="89"/>
      <c r="AI33" s="85"/>
      <c r="AJ33" s="85"/>
      <c r="AK33" s="85"/>
      <c r="AL33" s="85"/>
      <c r="AM33" s="85"/>
      <c r="AN33" s="85"/>
      <c r="AO33" s="85"/>
      <c r="AP33" s="85"/>
      <c r="AQ33" s="85"/>
      <c r="AR33" s="85"/>
      <c r="AS33" s="85"/>
      <c r="AT33" s="85"/>
      <c r="AU33" s="85"/>
      <c r="AV33" s="85"/>
      <c r="AW33" s="85"/>
      <c r="AX33" s="85"/>
      <c r="AY33" s="85"/>
      <c r="AZ33" s="85"/>
    </row>
    <row r="34" spans="1:52" s="86" customFormat="1" ht="24" customHeight="1" x14ac:dyDescent="0.25">
      <c r="A34" s="2"/>
      <c r="B34" s="2"/>
      <c r="C34" s="2"/>
      <c r="D34" s="2"/>
      <c r="E34" s="2"/>
      <c r="F34" s="2"/>
      <c r="G34" s="2"/>
      <c r="H34" s="2"/>
      <c r="I34" s="2"/>
      <c r="J34" s="2"/>
      <c r="K34" s="2"/>
      <c r="L34" s="148"/>
      <c r="M34" s="89"/>
      <c r="N34" s="89"/>
      <c r="O34" s="89"/>
      <c r="P34" s="89"/>
      <c r="Q34" s="89"/>
      <c r="R34" s="89"/>
      <c r="S34" s="89"/>
      <c r="T34" s="89"/>
      <c r="U34" s="89"/>
      <c r="V34" s="89"/>
      <c r="W34" s="88"/>
      <c r="X34" s="89"/>
      <c r="Y34" s="89"/>
      <c r="Z34" s="89"/>
      <c r="AA34" s="89"/>
      <c r="AB34" s="89"/>
      <c r="AC34" s="89"/>
      <c r="AD34" s="89"/>
      <c r="AE34" s="89"/>
      <c r="AF34" s="89"/>
      <c r="AG34" s="89"/>
      <c r="AH34" s="89"/>
      <c r="AI34" s="85"/>
      <c r="AJ34" s="85"/>
      <c r="AK34" s="85"/>
      <c r="AL34" s="85"/>
      <c r="AM34" s="85"/>
      <c r="AN34" s="85"/>
      <c r="AO34" s="85"/>
      <c r="AP34" s="85"/>
      <c r="AQ34" s="85"/>
      <c r="AR34" s="85"/>
      <c r="AS34" s="85"/>
      <c r="AT34" s="85"/>
      <c r="AU34" s="85"/>
      <c r="AV34" s="85"/>
      <c r="AW34" s="85"/>
      <c r="AX34" s="85"/>
      <c r="AY34" s="85"/>
      <c r="AZ34" s="85"/>
    </row>
    <row r="35" spans="1:52" s="86" customFormat="1" ht="24" customHeight="1" x14ac:dyDescent="0.25">
      <c r="A35" s="2"/>
      <c r="B35" s="2"/>
      <c r="C35" s="2"/>
      <c r="D35" s="2"/>
      <c r="E35" s="2"/>
      <c r="F35" s="2"/>
      <c r="G35" s="2"/>
      <c r="H35" s="2"/>
      <c r="I35" s="2"/>
      <c r="J35" s="2"/>
      <c r="K35" s="2"/>
      <c r="L35" s="148"/>
      <c r="M35" s="89"/>
      <c r="N35" s="89"/>
      <c r="O35" s="89"/>
      <c r="P35" s="89"/>
      <c r="Q35" s="89"/>
      <c r="R35" s="89"/>
      <c r="S35" s="89"/>
      <c r="T35" s="89"/>
      <c r="U35" s="89"/>
      <c r="V35" s="89"/>
      <c r="W35" s="88"/>
      <c r="X35" s="89"/>
      <c r="Y35" s="89"/>
      <c r="Z35" s="89"/>
      <c r="AA35" s="89"/>
      <c r="AB35" s="89"/>
      <c r="AC35" s="89"/>
      <c r="AD35" s="89"/>
      <c r="AE35" s="89"/>
      <c r="AF35" s="89"/>
      <c r="AG35" s="89"/>
      <c r="AH35" s="89"/>
      <c r="AI35" s="85"/>
      <c r="AJ35" s="85"/>
      <c r="AK35" s="85"/>
      <c r="AL35" s="85"/>
      <c r="AM35" s="85"/>
      <c r="AN35" s="85"/>
      <c r="AO35" s="85"/>
      <c r="AP35" s="85"/>
      <c r="AQ35" s="85"/>
      <c r="AR35" s="85"/>
      <c r="AS35" s="85"/>
      <c r="AT35" s="85"/>
      <c r="AU35" s="85"/>
      <c r="AV35" s="85"/>
      <c r="AW35" s="85"/>
      <c r="AX35" s="85"/>
      <c r="AY35" s="85"/>
      <c r="AZ35" s="85"/>
    </row>
    <row r="36" spans="1:52" s="86" customFormat="1" ht="24" customHeight="1" x14ac:dyDescent="0.25">
      <c r="A36" s="2"/>
      <c r="B36" s="2"/>
      <c r="C36" s="2"/>
      <c r="D36" s="2"/>
      <c r="E36" s="2"/>
      <c r="F36" s="2"/>
      <c r="G36" s="2"/>
      <c r="H36" s="2"/>
      <c r="I36" s="2"/>
      <c r="J36" s="2"/>
      <c r="K36" s="2"/>
      <c r="L36" s="148"/>
      <c r="M36" s="89"/>
      <c r="N36" s="89"/>
      <c r="O36" s="89"/>
      <c r="P36" s="89"/>
      <c r="Q36" s="89"/>
      <c r="R36" s="89"/>
      <c r="S36" s="89"/>
      <c r="T36" s="89"/>
      <c r="U36" s="89"/>
      <c r="V36" s="89"/>
      <c r="W36" s="88"/>
      <c r="X36" s="89"/>
      <c r="Y36" s="89"/>
      <c r="Z36" s="89"/>
      <c r="AA36" s="89"/>
      <c r="AB36" s="89"/>
      <c r="AC36" s="89"/>
      <c r="AD36" s="89"/>
      <c r="AE36" s="89"/>
      <c r="AF36" s="89"/>
      <c r="AG36" s="89"/>
      <c r="AH36" s="89"/>
      <c r="AI36" s="85"/>
      <c r="AJ36" s="85"/>
      <c r="AK36" s="85"/>
      <c r="AL36" s="85"/>
      <c r="AM36" s="85"/>
      <c r="AN36" s="85"/>
      <c r="AO36" s="85"/>
      <c r="AP36" s="85"/>
      <c r="AQ36" s="85"/>
      <c r="AR36" s="85"/>
      <c r="AS36" s="85"/>
      <c r="AT36" s="85"/>
      <c r="AU36" s="85"/>
      <c r="AV36" s="85"/>
      <c r="AW36" s="85"/>
      <c r="AX36" s="85"/>
      <c r="AY36" s="85"/>
      <c r="AZ36" s="85"/>
    </row>
    <row r="37" spans="1:52" s="86" customFormat="1" ht="24" customHeight="1" x14ac:dyDescent="0.25">
      <c r="A37" s="2"/>
      <c r="B37" s="2"/>
      <c r="C37" s="2"/>
      <c r="D37" s="2"/>
      <c r="E37" s="2"/>
      <c r="F37" s="2"/>
      <c r="G37" s="2"/>
      <c r="H37" s="2"/>
      <c r="I37" s="2"/>
      <c r="J37" s="2"/>
      <c r="K37" s="2"/>
      <c r="L37" s="148"/>
      <c r="M37" s="89"/>
      <c r="N37" s="89"/>
      <c r="O37" s="89"/>
      <c r="P37" s="89"/>
      <c r="Q37" s="89"/>
      <c r="R37" s="89"/>
      <c r="S37" s="89"/>
      <c r="T37" s="89"/>
      <c r="U37" s="89"/>
      <c r="V37" s="89"/>
      <c r="W37" s="88"/>
      <c r="X37" s="89"/>
      <c r="Y37" s="89"/>
      <c r="Z37" s="89"/>
      <c r="AA37" s="89"/>
      <c r="AB37" s="89"/>
      <c r="AC37" s="89"/>
      <c r="AD37" s="89"/>
      <c r="AE37" s="89"/>
      <c r="AF37" s="89"/>
      <c r="AG37" s="89"/>
      <c r="AH37" s="89"/>
      <c r="AI37" s="85"/>
      <c r="AJ37" s="85"/>
      <c r="AK37" s="85"/>
      <c r="AL37" s="85"/>
      <c r="AM37" s="85"/>
      <c r="AN37" s="85"/>
      <c r="AO37" s="85"/>
      <c r="AP37" s="85"/>
      <c r="AQ37" s="85"/>
      <c r="AR37" s="85"/>
      <c r="AS37" s="85"/>
      <c r="AT37" s="85"/>
      <c r="AU37" s="85"/>
      <c r="AV37" s="85"/>
      <c r="AW37" s="85"/>
      <c r="AX37" s="85"/>
      <c r="AY37" s="85"/>
      <c r="AZ37" s="85"/>
    </row>
    <row r="38" spans="1:52" s="86" customFormat="1" ht="24" customHeight="1" x14ac:dyDescent="0.25">
      <c r="A38" s="2"/>
      <c r="B38" s="2"/>
      <c r="C38" s="2"/>
      <c r="D38" s="2"/>
      <c r="E38" s="2"/>
      <c r="F38" s="2"/>
      <c r="G38" s="2"/>
      <c r="H38" s="2"/>
      <c r="I38" s="2"/>
      <c r="J38" s="2"/>
      <c r="K38" s="2"/>
      <c r="L38" s="148"/>
      <c r="M38" s="89"/>
      <c r="N38" s="89"/>
      <c r="O38" s="89"/>
      <c r="P38" s="89"/>
      <c r="Q38" s="89"/>
      <c r="R38" s="89"/>
      <c r="S38" s="89"/>
      <c r="T38" s="89"/>
      <c r="U38" s="89"/>
      <c r="V38" s="89"/>
      <c r="W38" s="88"/>
      <c r="X38" s="89"/>
      <c r="Y38" s="89"/>
      <c r="Z38" s="89"/>
      <c r="AA38" s="89"/>
      <c r="AB38" s="89"/>
      <c r="AC38" s="89"/>
      <c r="AD38" s="89"/>
      <c r="AE38" s="89"/>
      <c r="AF38" s="89"/>
      <c r="AG38" s="89"/>
      <c r="AH38" s="89"/>
      <c r="AI38" s="85"/>
      <c r="AJ38" s="85"/>
      <c r="AK38" s="85"/>
      <c r="AL38" s="85"/>
      <c r="AM38" s="85"/>
      <c r="AN38" s="85"/>
      <c r="AO38" s="85"/>
      <c r="AP38" s="85"/>
      <c r="AQ38" s="85"/>
      <c r="AR38" s="85"/>
      <c r="AS38" s="85"/>
      <c r="AT38" s="85"/>
      <c r="AU38" s="85"/>
      <c r="AV38" s="85"/>
      <c r="AW38" s="85"/>
      <c r="AX38" s="85"/>
      <c r="AY38" s="85"/>
      <c r="AZ38" s="85"/>
    </row>
    <row r="39" spans="1:52" s="86" customFormat="1" ht="24" customHeight="1" x14ac:dyDescent="0.25">
      <c r="A39" s="2"/>
      <c r="B39" s="2"/>
      <c r="C39" s="2"/>
      <c r="D39" s="2"/>
      <c r="E39" s="2"/>
      <c r="F39" s="2"/>
      <c r="G39" s="2"/>
      <c r="H39" s="2"/>
      <c r="I39" s="2"/>
      <c r="J39" s="2"/>
      <c r="K39" s="2"/>
      <c r="L39" s="148"/>
      <c r="M39" s="89"/>
      <c r="N39" s="89"/>
      <c r="O39" s="89"/>
      <c r="P39" s="89"/>
      <c r="Q39" s="89"/>
      <c r="R39" s="89"/>
      <c r="S39" s="89"/>
      <c r="T39" s="89"/>
      <c r="U39" s="89"/>
      <c r="V39" s="89"/>
      <c r="W39" s="88"/>
      <c r="X39" s="89"/>
      <c r="Y39" s="89"/>
      <c r="Z39" s="89"/>
      <c r="AA39" s="89"/>
      <c r="AB39" s="89"/>
      <c r="AC39" s="89"/>
      <c r="AD39" s="89"/>
      <c r="AE39" s="89"/>
      <c r="AF39" s="89"/>
      <c r="AG39" s="89"/>
      <c r="AH39" s="89"/>
      <c r="AI39" s="85"/>
      <c r="AJ39" s="85"/>
      <c r="AK39" s="85"/>
      <c r="AL39" s="85"/>
      <c r="AM39" s="85"/>
      <c r="AN39" s="85"/>
      <c r="AO39" s="85"/>
      <c r="AP39" s="85"/>
      <c r="AQ39" s="85"/>
      <c r="AR39" s="85"/>
      <c r="AS39" s="85"/>
      <c r="AT39" s="85"/>
      <c r="AU39" s="85"/>
      <c r="AV39" s="85"/>
      <c r="AW39" s="85"/>
      <c r="AX39" s="85"/>
      <c r="AY39" s="85"/>
      <c r="AZ39" s="85"/>
    </row>
    <row r="40" spans="1:52" s="86" customFormat="1" ht="24" customHeight="1" x14ac:dyDescent="0.25">
      <c r="A40" s="2"/>
      <c r="B40" s="2"/>
      <c r="C40" s="2"/>
      <c r="D40" s="2"/>
      <c r="E40" s="2"/>
      <c r="F40" s="2"/>
      <c r="G40" s="2"/>
      <c r="H40" s="2"/>
      <c r="I40" s="2"/>
      <c r="J40" s="2"/>
      <c r="K40" s="2"/>
      <c r="L40" s="148"/>
      <c r="M40" s="89"/>
      <c r="N40" s="89"/>
      <c r="O40" s="89"/>
      <c r="P40" s="89"/>
      <c r="Q40" s="89"/>
      <c r="R40" s="89"/>
      <c r="S40" s="89"/>
      <c r="T40" s="89"/>
      <c r="U40" s="89"/>
      <c r="V40" s="89"/>
      <c r="W40" s="88"/>
      <c r="X40" s="89"/>
      <c r="Y40" s="89"/>
      <c r="Z40" s="89"/>
      <c r="AA40" s="89"/>
      <c r="AB40" s="89"/>
      <c r="AC40" s="89"/>
      <c r="AD40" s="89"/>
      <c r="AE40" s="89"/>
      <c r="AF40" s="89"/>
      <c r="AG40" s="89"/>
      <c r="AH40" s="89"/>
      <c r="AI40" s="85"/>
      <c r="AJ40" s="85"/>
      <c r="AK40" s="85"/>
      <c r="AL40" s="85"/>
      <c r="AM40" s="85"/>
      <c r="AN40" s="85"/>
      <c r="AO40" s="85"/>
      <c r="AP40" s="85"/>
      <c r="AQ40" s="85"/>
      <c r="AR40" s="85"/>
      <c r="AS40" s="85"/>
      <c r="AT40" s="85"/>
      <c r="AU40" s="85"/>
      <c r="AV40" s="85"/>
      <c r="AW40" s="85"/>
      <c r="AX40" s="85"/>
      <c r="AY40" s="85"/>
      <c r="AZ40" s="85"/>
    </row>
    <row r="41" spans="1:52" s="86" customFormat="1" ht="24" customHeight="1" x14ac:dyDescent="0.25">
      <c r="A41" s="2"/>
      <c r="B41" s="2"/>
      <c r="C41" s="2"/>
      <c r="D41" s="2"/>
      <c r="E41" s="2"/>
      <c r="F41" s="2"/>
      <c r="G41" s="2"/>
      <c r="H41" s="2"/>
      <c r="I41" s="2"/>
      <c r="J41" s="2"/>
      <c r="K41" s="2"/>
      <c r="L41" s="148"/>
      <c r="M41" s="89"/>
      <c r="N41" s="89"/>
      <c r="O41" s="89"/>
      <c r="P41" s="89"/>
      <c r="Q41" s="89"/>
      <c r="R41" s="89"/>
      <c r="S41" s="89"/>
      <c r="T41" s="89"/>
      <c r="U41" s="89"/>
      <c r="V41" s="89"/>
      <c r="W41" s="88"/>
      <c r="X41" s="89"/>
      <c r="Y41" s="89"/>
      <c r="Z41" s="89"/>
      <c r="AA41" s="89"/>
      <c r="AB41" s="89"/>
      <c r="AC41" s="89"/>
      <c r="AD41" s="89"/>
      <c r="AE41" s="89"/>
      <c r="AF41" s="89"/>
      <c r="AG41" s="89"/>
      <c r="AH41" s="89"/>
      <c r="AI41" s="85"/>
      <c r="AJ41" s="85"/>
      <c r="AK41" s="85"/>
      <c r="AL41" s="85"/>
      <c r="AM41" s="85"/>
      <c r="AN41" s="85"/>
      <c r="AO41" s="85"/>
      <c r="AP41" s="85"/>
      <c r="AQ41" s="85"/>
      <c r="AR41" s="85"/>
      <c r="AS41" s="85"/>
      <c r="AT41" s="85"/>
      <c r="AU41" s="85"/>
      <c r="AV41" s="85"/>
      <c r="AW41" s="85"/>
      <c r="AX41" s="85"/>
      <c r="AY41" s="85"/>
      <c r="AZ41" s="85"/>
    </row>
    <row r="42" spans="1:52" s="86" customFormat="1" ht="24" customHeight="1" x14ac:dyDescent="0.25">
      <c r="A42" s="2"/>
      <c r="B42" s="2"/>
      <c r="C42" s="2"/>
      <c r="D42" s="2"/>
      <c r="E42" s="2"/>
      <c r="F42" s="2"/>
      <c r="G42" s="2"/>
      <c r="H42" s="2"/>
      <c r="I42" s="2"/>
      <c r="J42" s="2"/>
      <c r="K42" s="2"/>
      <c r="L42" s="148"/>
      <c r="M42" s="89"/>
      <c r="N42" s="89"/>
      <c r="O42" s="89"/>
      <c r="P42" s="89"/>
      <c r="Q42" s="89"/>
      <c r="R42" s="89"/>
      <c r="S42" s="89"/>
      <c r="T42" s="89"/>
      <c r="U42" s="89"/>
      <c r="V42" s="89"/>
      <c r="W42" s="88"/>
      <c r="X42" s="89"/>
      <c r="Y42" s="89"/>
      <c r="Z42" s="89"/>
      <c r="AA42" s="89"/>
      <c r="AB42" s="89"/>
      <c r="AC42" s="89"/>
      <c r="AD42" s="89"/>
      <c r="AE42" s="89"/>
      <c r="AF42" s="89"/>
      <c r="AG42" s="89"/>
      <c r="AH42" s="89"/>
      <c r="AI42" s="85"/>
      <c r="AJ42" s="85"/>
      <c r="AK42" s="85"/>
      <c r="AL42" s="85"/>
      <c r="AM42" s="85"/>
      <c r="AN42" s="85"/>
      <c r="AO42" s="85"/>
      <c r="AP42" s="85"/>
      <c r="AQ42" s="85"/>
      <c r="AR42" s="85"/>
      <c r="AS42" s="85"/>
      <c r="AT42" s="85"/>
      <c r="AU42" s="85"/>
      <c r="AV42" s="85"/>
      <c r="AW42" s="85"/>
      <c r="AX42" s="85"/>
      <c r="AY42" s="85"/>
      <c r="AZ42" s="85"/>
    </row>
    <row r="43" spans="1:52" s="86" customFormat="1" ht="24" customHeight="1" x14ac:dyDescent="0.25">
      <c r="A43" s="2"/>
      <c r="B43" s="2"/>
      <c r="C43" s="2"/>
      <c r="D43" s="2"/>
      <c r="E43" s="2"/>
      <c r="F43" s="2"/>
      <c r="G43" s="2"/>
      <c r="H43" s="2"/>
      <c r="I43" s="2"/>
      <c r="J43" s="2"/>
      <c r="K43" s="2"/>
      <c r="L43" s="148"/>
      <c r="M43" s="89"/>
      <c r="N43" s="89"/>
      <c r="O43" s="89"/>
      <c r="P43" s="89"/>
      <c r="Q43" s="89"/>
      <c r="R43" s="89"/>
      <c r="S43" s="89"/>
      <c r="T43" s="89"/>
      <c r="U43" s="89"/>
      <c r="V43" s="89"/>
      <c r="W43" s="88"/>
      <c r="X43" s="89"/>
      <c r="Y43" s="89"/>
      <c r="Z43" s="89"/>
      <c r="AA43" s="89"/>
      <c r="AB43" s="89"/>
      <c r="AC43" s="89"/>
      <c r="AD43" s="89"/>
      <c r="AE43" s="89"/>
      <c r="AF43" s="89"/>
      <c r="AG43" s="89"/>
      <c r="AH43" s="89"/>
      <c r="AI43" s="85"/>
      <c r="AJ43" s="85"/>
      <c r="AK43" s="85"/>
      <c r="AL43" s="85"/>
      <c r="AM43" s="85"/>
      <c r="AN43" s="85"/>
      <c r="AO43" s="85"/>
      <c r="AP43" s="85"/>
      <c r="AQ43" s="85"/>
      <c r="AR43" s="85"/>
      <c r="AS43" s="85"/>
      <c r="AT43" s="85"/>
      <c r="AU43" s="85"/>
      <c r="AV43" s="85"/>
      <c r="AW43" s="85"/>
      <c r="AX43" s="85"/>
      <c r="AY43" s="85"/>
      <c r="AZ43" s="85"/>
    </row>
    <row r="44" spans="1:52" s="86" customFormat="1" ht="24" customHeight="1" x14ac:dyDescent="0.25">
      <c r="A44" s="2"/>
      <c r="B44" s="2"/>
      <c r="C44" s="2"/>
      <c r="D44" s="2"/>
      <c r="E44" s="2"/>
      <c r="F44" s="2"/>
      <c r="G44" s="2"/>
      <c r="H44" s="2"/>
      <c r="I44" s="2"/>
      <c r="J44" s="2"/>
      <c r="K44" s="2"/>
      <c r="L44" s="148"/>
      <c r="M44" s="89"/>
      <c r="N44" s="89"/>
      <c r="O44" s="89"/>
      <c r="P44" s="89"/>
      <c r="Q44" s="89"/>
      <c r="R44" s="89"/>
      <c r="S44" s="89"/>
      <c r="T44" s="89"/>
      <c r="U44" s="89"/>
      <c r="V44" s="89"/>
      <c r="W44" s="88"/>
      <c r="X44" s="89"/>
      <c r="Y44" s="89"/>
      <c r="Z44" s="89"/>
      <c r="AA44" s="89"/>
      <c r="AB44" s="89"/>
      <c r="AC44" s="89"/>
      <c r="AD44" s="89"/>
      <c r="AE44" s="89"/>
      <c r="AF44" s="89"/>
      <c r="AG44" s="89"/>
      <c r="AH44" s="89"/>
      <c r="AI44" s="85"/>
      <c r="AJ44" s="85"/>
      <c r="AK44" s="85"/>
      <c r="AL44" s="85"/>
      <c r="AM44" s="85"/>
      <c r="AN44" s="85"/>
      <c r="AO44" s="85"/>
      <c r="AP44" s="85"/>
      <c r="AQ44" s="85"/>
      <c r="AR44" s="85"/>
      <c r="AS44" s="85"/>
      <c r="AT44" s="85"/>
      <c r="AU44" s="85"/>
      <c r="AV44" s="85"/>
      <c r="AW44" s="85"/>
      <c r="AX44" s="85"/>
      <c r="AY44" s="85"/>
      <c r="AZ44" s="85"/>
    </row>
    <row r="45" spans="1:52" s="86" customFormat="1" ht="105" customHeight="1" x14ac:dyDescent="0.25">
      <c r="A45" s="2"/>
      <c r="B45" s="2"/>
      <c r="C45" s="2"/>
      <c r="D45" s="2"/>
      <c r="E45" s="2"/>
      <c r="F45" s="2"/>
      <c r="G45" s="2"/>
      <c r="H45" s="2"/>
      <c r="I45" s="2"/>
      <c r="J45" s="2"/>
      <c r="K45" s="2"/>
      <c r="L45" s="148"/>
      <c r="M45" s="89"/>
      <c r="N45" s="89"/>
      <c r="O45" s="89"/>
      <c r="P45" s="89"/>
      <c r="Q45" s="89"/>
      <c r="R45" s="89"/>
      <c r="S45" s="89"/>
      <c r="T45" s="89"/>
      <c r="U45" s="89"/>
      <c r="V45" s="89"/>
      <c r="W45" s="88"/>
      <c r="X45" s="89"/>
      <c r="Y45" s="89"/>
      <c r="Z45" s="89"/>
      <c r="AA45" s="89"/>
      <c r="AB45" s="89"/>
      <c r="AC45" s="89"/>
      <c r="AD45" s="89"/>
      <c r="AE45" s="89"/>
      <c r="AF45" s="89"/>
      <c r="AG45" s="89"/>
      <c r="AH45" s="89"/>
      <c r="AI45" s="85"/>
      <c r="AJ45" s="85"/>
      <c r="AK45" s="85"/>
      <c r="AL45" s="85"/>
      <c r="AM45" s="85"/>
      <c r="AN45" s="85"/>
      <c r="AO45" s="85"/>
      <c r="AP45" s="85"/>
      <c r="AQ45" s="85"/>
      <c r="AR45" s="85"/>
      <c r="AS45" s="85"/>
      <c r="AT45" s="85"/>
      <c r="AU45" s="85"/>
      <c r="AV45" s="85"/>
      <c r="AW45" s="85"/>
      <c r="AX45" s="85"/>
      <c r="AY45" s="85"/>
      <c r="AZ45" s="85"/>
    </row>
    <row r="46" spans="1:52" s="86" customFormat="1" ht="27.75" customHeight="1" x14ac:dyDescent="0.25">
      <c r="A46" s="2"/>
      <c r="B46" s="2"/>
      <c r="C46" s="2"/>
      <c r="D46" s="2"/>
      <c r="E46" s="2"/>
      <c r="F46" s="2"/>
      <c r="G46" s="2"/>
      <c r="H46" s="2"/>
      <c r="I46" s="2"/>
      <c r="J46" s="2"/>
      <c r="K46" s="2"/>
      <c r="L46" s="148"/>
      <c r="M46" s="89"/>
      <c r="N46" s="89"/>
      <c r="O46" s="89"/>
      <c r="P46" s="89"/>
      <c r="Q46" s="89"/>
      <c r="R46" s="89"/>
      <c r="S46" s="89"/>
      <c r="T46" s="89"/>
      <c r="U46" s="89"/>
      <c r="V46" s="89"/>
      <c r="W46" s="88"/>
      <c r="X46" s="89"/>
      <c r="Y46" s="89"/>
      <c r="Z46" s="89"/>
      <c r="AA46" s="89"/>
      <c r="AB46" s="89"/>
      <c r="AC46" s="89"/>
      <c r="AD46" s="89"/>
      <c r="AE46" s="89"/>
      <c r="AF46" s="89"/>
      <c r="AG46" s="89"/>
      <c r="AH46" s="89"/>
      <c r="AI46" s="85"/>
      <c r="AJ46" s="85"/>
      <c r="AK46" s="85"/>
      <c r="AL46" s="85"/>
      <c r="AM46" s="85"/>
      <c r="AN46" s="85"/>
      <c r="AO46" s="85"/>
      <c r="AP46" s="85"/>
      <c r="AQ46" s="85"/>
      <c r="AR46" s="85"/>
      <c r="AS46" s="85"/>
      <c r="AT46" s="85"/>
      <c r="AU46" s="85"/>
      <c r="AV46" s="85"/>
      <c r="AW46" s="85"/>
      <c r="AX46" s="85"/>
      <c r="AY46" s="85"/>
      <c r="AZ46" s="85"/>
    </row>
    <row r="47" spans="1:52" s="85" customFormat="1" ht="18.75" customHeight="1" x14ac:dyDescent="0.25">
      <c r="A47" s="87"/>
      <c r="B47" s="87"/>
      <c r="C47" s="87"/>
      <c r="D47" s="87"/>
      <c r="E47" s="87"/>
      <c r="F47" s="87"/>
      <c r="G47" s="87"/>
      <c r="H47" s="87"/>
      <c r="I47" s="87"/>
      <c r="J47" s="87"/>
      <c r="K47" s="87"/>
      <c r="L47" s="148"/>
      <c r="M47" s="89"/>
      <c r="N47" s="89"/>
      <c r="O47" s="89"/>
      <c r="P47" s="89"/>
      <c r="Q47" s="89"/>
      <c r="R47" s="89"/>
      <c r="S47" s="89"/>
      <c r="T47" s="89"/>
      <c r="U47" s="89"/>
      <c r="V47" s="89"/>
      <c r="W47" s="88"/>
      <c r="X47" s="89"/>
      <c r="Y47" s="89"/>
      <c r="Z47" s="89"/>
      <c r="AA47" s="89"/>
      <c r="AB47" s="89"/>
      <c r="AC47" s="89"/>
      <c r="AD47" s="89"/>
      <c r="AE47" s="89"/>
      <c r="AF47" s="89"/>
      <c r="AG47" s="89"/>
      <c r="AH47" s="89"/>
    </row>
    <row r="48" spans="1:52" s="85" customFormat="1" x14ac:dyDescent="0.25">
      <c r="A48" s="87"/>
      <c r="B48" s="87"/>
      <c r="C48" s="87"/>
      <c r="D48" s="87"/>
      <c r="E48" s="87"/>
      <c r="F48" s="87"/>
      <c r="G48" s="87"/>
      <c r="H48" s="87"/>
      <c r="I48" s="87"/>
      <c r="J48" s="87"/>
      <c r="K48" s="87"/>
      <c r="L48" s="148"/>
      <c r="M48" s="89"/>
      <c r="N48" s="89"/>
      <c r="O48" s="89"/>
      <c r="P48" s="89"/>
      <c r="Q48" s="89"/>
      <c r="R48" s="89"/>
      <c r="S48" s="89"/>
      <c r="T48" s="89"/>
      <c r="U48" s="89"/>
      <c r="V48" s="89"/>
      <c r="W48" s="88"/>
      <c r="X48" s="89"/>
      <c r="Y48" s="89"/>
      <c r="Z48" s="89"/>
      <c r="AA48" s="89"/>
      <c r="AB48" s="89"/>
      <c r="AC48" s="89"/>
      <c r="AD48" s="89"/>
      <c r="AE48" s="89"/>
      <c r="AF48" s="89"/>
      <c r="AG48" s="89"/>
      <c r="AH48" s="89"/>
    </row>
    <row r="49" spans="1:34" s="85" customFormat="1" x14ac:dyDescent="0.25">
      <c r="A49" s="87"/>
      <c r="B49" s="87"/>
      <c r="C49" s="87"/>
      <c r="D49" s="87"/>
      <c r="E49" s="87"/>
      <c r="F49" s="87"/>
      <c r="G49" s="87"/>
      <c r="H49" s="87"/>
      <c r="I49" s="87"/>
      <c r="J49" s="87"/>
      <c r="K49" s="87"/>
      <c r="L49" s="148"/>
      <c r="M49" s="89"/>
      <c r="N49" s="89"/>
      <c r="O49" s="89"/>
      <c r="P49" s="89"/>
      <c r="Q49" s="89"/>
      <c r="R49" s="89"/>
      <c r="S49" s="89"/>
      <c r="T49" s="89"/>
      <c r="U49" s="89"/>
      <c r="V49" s="89"/>
      <c r="W49" s="88"/>
      <c r="X49" s="89"/>
      <c r="Y49" s="89"/>
      <c r="Z49" s="89"/>
      <c r="AA49" s="89"/>
      <c r="AB49" s="89"/>
      <c r="AC49" s="89"/>
      <c r="AD49" s="89"/>
      <c r="AE49" s="89"/>
      <c r="AF49" s="89"/>
      <c r="AG49" s="89"/>
      <c r="AH49" s="89"/>
    </row>
    <row r="50" spans="1:34" s="85" customFormat="1" x14ac:dyDescent="0.25">
      <c r="A50" s="87"/>
      <c r="B50" s="87"/>
      <c r="C50" s="87"/>
      <c r="D50" s="87"/>
      <c r="E50" s="87"/>
      <c r="F50" s="87"/>
      <c r="G50" s="87"/>
      <c r="H50" s="87"/>
      <c r="I50" s="87"/>
      <c r="J50" s="87"/>
      <c r="K50" s="87"/>
      <c r="L50" s="148"/>
      <c r="M50" s="89"/>
      <c r="N50" s="89"/>
      <c r="O50" s="89"/>
      <c r="P50" s="89"/>
      <c r="Q50" s="89"/>
      <c r="R50" s="89"/>
      <c r="S50" s="89"/>
      <c r="T50" s="89"/>
      <c r="U50" s="89"/>
      <c r="V50" s="89"/>
      <c r="W50" s="88"/>
      <c r="X50" s="89"/>
      <c r="Y50" s="89"/>
      <c r="Z50" s="89"/>
      <c r="AA50" s="89"/>
      <c r="AB50" s="89"/>
      <c r="AC50" s="89"/>
      <c r="AD50" s="89"/>
      <c r="AE50" s="89"/>
      <c r="AF50" s="89"/>
      <c r="AG50" s="89"/>
      <c r="AH50" s="89"/>
    </row>
    <row r="51" spans="1:34" s="85" customFormat="1" x14ac:dyDescent="0.25">
      <c r="A51" s="87"/>
      <c r="B51" s="87"/>
      <c r="C51" s="87"/>
      <c r="D51" s="87"/>
      <c r="E51" s="87"/>
      <c r="F51" s="87"/>
      <c r="G51" s="87"/>
      <c r="H51" s="87"/>
      <c r="I51" s="87"/>
      <c r="J51" s="87"/>
      <c r="K51" s="87"/>
      <c r="L51" s="148"/>
      <c r="M51" s="89"/>
      <c r="N51" s="89"/>
      <c r="O51" s="89"/>
      <c r="P51" s="89"/>
      <c r="Q51" s="89"/>
      <c r="R51" s="89"/>
      <c r="S51" s="89"/>
      <c r="T51" s="89"/>
      <c r="U51" s="89"/>
      <c r="V51" s="89"/>
      <c r="W51" s="88"/>
      <c r="X51" s="89"/>
      <c r="Y51" s="89"/>
      <c r="Z51" s="89"/>
      <c r="AA51" s="89"/>
      <c r="AB51" s="89"/>
      <c r="AC51" s="89"/>
      <c r="AD51" s="89"/>
      <c r="AE51" s="89"/>
      <c r="AF51" s="89"/>
      <c r="AG51" s="89"/>
      <c r="AH51" s="89"/>
    </row>
    <row r="52" spans="1:34" s="85" customFormat="1" x14ac:dyDescent="0.25">
      <c r="A52" s="87"/>
      <c r="B52" s="87"/>
      <c r="C52" s="87"/>
      <c r="D52" s="87"/>
      <c r="E52" s="87"/>
      <c r="F52" s="87"/>
      <c r="G52" s="87"/>
      <c r="H52" s="87"/>
      <c r="I52" s="87"/>
      <c r="J52" s="87"/>
      <c r="K52" s="87"/>
      <c r="L52" s="148"/>
      <c r="M52" s="89"/>
      <c r="N52" s="89"/>
      <c r="O52" s="89"/>
      <c r="P52" s="89"/>
      <c r="Q52" s="89"/>
      <c r="R52" s="89"/>
      <c r="S52" s="89"/>
      <c r="T52" s="89"/>
      <c r="U52" s="89"/>
      <c r="V52" s="89"/>
      <c r="W52" s="88"/>
      <c r="X52" s="89"/>
      <c r="Y52" s="89"/>
      <c r="Z52" s="89"/>
      <c r="AA52" s="89"/>
      <c r="AB52" s="89"/>
      <c r="AC52" s="89"/>
      <c r="AD52" s="89"/>
      <c r="AE52" s="89"/>
      <c r="AF52" s="89"/>
      <c r="AG52" s="89"/>
      <c r="AH52" s="89"/>
    </row>
    <row r="53" spans="1:34" s="85" customFormat="1" x14ac:dyDescent="0.25">
      <c r="A53" s="87"/>
      <c r="B53" s="87"/>
      <c r="C53" s="87"/>
      <c r="D53" s="87"/>
      <c r="E53" s="87"/>
      <c r="F53" s="87"/>
      <c r="G53" s="87"/>
      <c r="H53" s="87"/>
      <c r="I53" s="87"/>
      <c r="J53" s="87"/>
      <c r="K53" s="87"/>
      <c r="L53" s="148"/>
      <c r="M53" s="89"/>
      <c r="N53" s="89"/>
      <c r="O53" s="89"/>
      <c r="P53" s="89"/>
      <c r="Q53" s="89"/>
      <c r="R53" s="89"/>
      <c r="S53" s="89"/>
      <c r="T53" s="89"/>
      <c r="U53" s="89"/>
      <c r="V53" s="89"/>
      <c r="W53" s="88"/>
      <c r="X53" s="89"/>
      <c r="Y53" s="89"/>
      <c r="Z53" s="89"/>
      <c r="AA53" s="89"/>
      <c r="AB53" s="89"/>
      <c r="AC53" s="89"/>
      <c r="AD53" s="89"/>
      <c r="AE53" s="89"/>
      <c r="AF53" s="89"/>
      <c r="AG53" s="89"/>
      <c r="AH53" s="89"/>
    </row>
    <row r="54" spans="1:34" s="85" customFormat="1" x14ac:dyDescent="0.25">
      <c r="A54" s="87"/>
      <c r="B54" s="87"/>
      <c r="C54" s="87"/>
      <c r="D54" s="87"/>
      <c r="E54" s="87"/>
      <c r="F54" s="87"/>
      <c r="G54" s="87"/>
      <c r="H54" s="87"/>
      <c r="I54" s="87"/>
      <c r="J54" s="87"/>
      <c r="K54" s="87"/>
      <c r="L54" s="148"/>
      <c r="M54" s="89"/>
      <c r="N54" s="89"/>
      <c r="O54" s="89"/>
      <c r="P54" s="89"/>
      <c r="Q54" s="89"/>
      <c r="R54" s="89"/>
      <c r="S54" s="89"/>
      <c r="T54" s="89"/>
      <c r="U54" s="89"/>
      <c r="V54" s="89"/>
      <c r="W54" s="88"/>
      <c r="X54" s="89"/>
      <c r="Y54" s="89"/>
      <c r="Z54" s="89"/>
      <c r="AA54" s="89"/>
      <c r="AB54" s="89"/>
      <c r="AC54" s="89"/>
      <c r="AD54" s="89"/>
      <c r="AE54" s="89"/>
      <c r="AF54" s="89"/>
      <c r="AG54" s="89"/>
      <c r="AH54" s="89"/>
    </row>
    <row r="55" spans="1:34" s="85" customFormat="1" x14ac:dyDescent="0.25">
      <c r="A55" s="87"/>
      <c r="B55" s="87"/>
      <c r="C55" s="87"/>
      <c r="D55" s="87"/>
      <c r="E55" s="87"/>
      <c r="F55" s="87"/>
      <c r="G55" s="87"/>
      <c r="H55" s="87"/>
      <c r="I55" s="87"/>
      <c r="J55" s="87"/>
      <c r="K55" s="87"/>
      <c r="L55" s="148"/>
      <c r="M55" s="89"/>
      <c r="N55" s="89"/>
      <c r="O55" s="89"/>
      <c r="P55" s="89"/>
      <c r="Q55" s="89"/>
      <c r="R55" s="89"/>
      <c r="S55" s="89"/>
      <c r="T55" s="89"/>
      <c r="U55" s="89"/>
      <c r="V55" s="89"/>
      <c r="W55" s="88"/>
      <c r="X55" s="89"/>
      <c r="Y55" s="89"/>
      <c r="Z55" s="89"/>
      <c r="AA55" s="89"/>
      <c r="AB55" s="89"/>
      <c r="AC55" s="89"/>
      <c r="AD55" s="89"/>
      <c r="AE55" s="89"/>
      <c r="AF55" s="89"/>
      <c r="AG55" s="89"/>
      <c r="AH55" s="89"/>
    </row>
    <row r="56" spans="1:34" s="85" customFormat="1" x14ac:dyDescent="0.25">
      <c r="A56" s="87"/>
      <c r="B56" s="87"/>
      <c r="C56" s="87"/>
      <c r="D56" s="87"/>
      <c r="E56" s="87"/>
      <c r="F56" s="87"/>
      <c r="G56" s="87"/>
      <c r="H56" s="87"/>
      <c r="I56" s="87"/>
      <c r="J56" s="87"/>
      <c r="K56" s="87"/>
      <c r="L56" s="148"/>
      <c r="M56" s="89"/>
      <c r="N56" s="89"/>
      <c r="O56" s="89"/>
      <c r="P56" s="89"/>
      <c r="Q56" s="89"/>
      <c r="R56" s="89"/>
      <c r="S56" s="89"/>
      <c r="T56" s="89"/>
      <c r="U56" s="89"/>
      <c r="V56" s="89"/>
      <c r="W56" s="88"/>
      <c r="X56" s="89"/>
      <c r="Y56" s="89"/>
      <c r="Z56" s="89"/>
      <c r="AA56" s="89"/>
      <c r="AB56" s="89"/>
      <c r="AC56" s="89"/>
      <c r="AD56" s="89"/>
      <c r="AE56" s="89"/>
      <c r="AF56" s="89"/>
      <c r="AG56" s="89"/>
      <c r="AH56" s="89"/>
    </row>
    <row r="57" spans="1:34" s="85" customFormat="1" x14ac:dyDescent="0.25">
      <c r="L57" s="89"/>
      <c r="M57" s="89"/>
      <c r="N57" s="89"/>
      <c r="O57" s="89"/>
      <c r="P57" s="89"/>
      <c r="Q57" s="89"/>
      <c r="R57" s="89"/>
      <c r="S57" s="89"/>
      <c r="T57" s="89"/>
      <c r="U57" s="89"/>
      <c r="V57" s="89"/>
      <c r="W57" s="88"/>
      <c r="X57" s="89"/>
      <c r="Y57" s="89"/>
      <c r="Z57" s="89"/>
      <c r="AA57" s="89"/>
      <c r="AB57" s="89"/>
      <c r="AC57" s="89"/>
      <c r="AD57" s="89"/>
      <c r="AE57" s="89"/>
      <c r="AF57" s="89"/>
      <c r="AG57" s="89"/>
      <c r="AH57" s="89"/>
    </row>
    <row r="58" spans="1:34" s="85" customFormat="1" x14ac:dyDescent="0.25">
      <c r="L58" s="89"/>
      <c r="M58" s="89"/>
      <c r="N58" s="89"/>
      <c r="O58" s="89"/>
      <c r="P58" s="89"/>
      <c r="Q58" s="89"/>
      <c r="R58" s="89"/>
      <c r="S58" s="89"/>
      <c r="T58" s="89"/>
      <c r="U58" s="89"/>
      <c r="V58" s="89"/>
      <c r="W58" s="88"/>
      <c r="X58" s="89"/>
      <c r="Y58" s="89"/>
      <c r="Z58" s="89"/>
      <c r="AA58" s="89"/>
      <c r="AB58" s="89"/>
      <c r="AC58" s="89"/>
      <c r="AD58" s="89"/>
      <c r="AE58" s="89"/>
      <c r="AF58" s="89"/>
      <c r="AG58" s="89"/>
      <c r="AH58" s="89"/>
    </row>
    <row r="59" spans="1:34" s="85" customFormat="1" hidden="1" x14ac:dyDescent="0.25">
      <c r="L59" s="89"/>
      <c r="M59" s="89"/>
      <c r="N59" s="89"/>
      <c r="O59" s="89"/>
      <c r="P59" s="89"/>
      <c r="Q59" s="89"/>
      <c r="R59" s="89"/>
      <c r="S59" s="89"/>
      <c r="T59" s="89"/>
      <c r="U59" s="89"/>
      <c r="V59" s="89"/>
      <c r="W59" s="88"/>
      <c r="X59" s="89"/>
      <c r="Y59" s="89"/>
      <c r="Z59" s="89"/>
      <c r="AA59" s="89"/>
      <c r="AB59" s="89"/>
      <c r="AC59" s="89"/>
      <c r="AD59" s="89"/>
      <c r="AE59" s="89"/>
      <c r="AF59" s="89"/>
      <c r="AG59" s="89"/>
      <c r="AH59" s="89"/>
    </row>
    <row r="60" spans="1:34" s="85" customFormat="1" x14ac:dyDescent="0.25">
      <c r="L60" s="89"/>
      <c r="M60" s="89"/>
      <c r="N60" s="89"/>
      <c r="O60" s="89"/>
      <c r="P60" s="89"/>
      <c r="Q60" s="89"/>
      <c r="R60" s="89"/>
      <c r="S60" s="89"/>
      <c r="T60" s="89"/>
      <c r="U60" s="89"/>
      <c r="V60" s="89"/>
      <c r="W60" s="88"/>
      <c r="X60" s="89"/>
      <c r="Y60" s="89"/>
      <c r="Z60" s="89"/>
      <c r="AA60" s="89"/>
      <c r="AB60" s="89"/>
      <c r="AC60" s="89"/>
      <c r="AD60" s="89"/>
      <c r="AE60" s="89"/>
      <c r="AF60" s="89"/>
      <c r="AG60" s="89"/>
      <c r="AH60" s="89"/>
    </row>
    <row r="61" spans="1:34" s="85" customFormat="1" x14ac:dyDescent="0.25">
      <c r="L61" s="89"/>
      <c r="M61" s="89"/>
      <c r="N61" s="89"/>
      <c r="O61" s="89"/>
      <c r="P61" s="89"/>
      <c r="Q61" s="89"/>
      <c r="R61" s="89"/>
      <c r="S61" s="89"/>
      <c r="T61" s="89"/>
      <c r="U61" s="89"/>
      <c r="V61" s="89"/>
      <c r="W61" s="88"/>
      <c r="X61" s="89"/>
      <c r="Y61" s="89"/>
      <c r="Z61" s="89"/>
      <c r="AA61" s="89"/>
      <c r="AB61" s="89"/>
      <c r="AC61" s="89"/>
      <c r="AD61" s="89"/>
      <c r="AE61" s="89"/>
      <c r="AF61" s="89"/>
      <c r="AG61" s="89"/>
      <c r="AH61" s="89"/>
    </row>
    <row r="62" spans="1:34" s="85" customFormat="1" x14ac:dyDescent="0.25">
      <c r="L62" s="89"/>
      <c r="M62" s="89"/>
      <c r="N62" s="89"/>
      <c r="O62" s="89"/>
      <c r="P62" s="89"/>
      <c r="Q62" s="89"/>
      <c r="R62" s="89"/>
      <c r="S62" s="89"/>
      <c r="T62" s="89"/>
      <c r="U62" s="89"/>
      <c r="V62" s="89"/>
      <c r="W62" s="88"/>
      <c r="X62" s="89"/>
      <c r="Y62" s="89"/>
      <c r="Z62" s="89"/>
      <c r="AA62" s="89"/>
      <c r="AB62" s="89"/>
      <c r="AC62" s="89"/>
      <c r="AD62" s="89"/>
      <c r="AE62" s="89"/>
      <c r="AF62" s="89"/>
      <c r="AG62" s="89"/>
      <c r="AH62" s="89"/>
    </row>
    <row r="63" spans="1:34" s="85" customFormat="1" x14ac:dyDescent="0.25">
      <c r="L63" s="89"/>
      <c r="M63" s="89"/>
      <c r="N63" s="89"/>
      <c r="O63" s="89"/>
      <c r="P63" s="89"/>
      <c r="Q63" s="89"/>
      <c r="R63" s="89"/>
      <c r="S63" s="89"/>
      <c r="T63" s="89"/>
      <c r="U63" s="89"/>
      <c r="V63" s="89"/>
      <c r="W63" s="88"/>
      <c r="X63" s="89"/>
      <c r="Y63" s="89"/>
      <c r="Z63" s="89"/>
      <c r="AA63" s="89"/>
      <c r="AB63" s="89"/>
      <c r="AC63" s="89"/>
      <c r="AD63" s="89"/>
      <c r="AE63" s="89"/>
      <c r="AF63" s="89"/>
      <c r="AG63" s="89"/>
      <c r="AH63" s="89"/>
    </row>
    <row r="64" spans="1:34" s="85" customFormat="1" x14ac:dyDescent="0.25">
      <c r="L64" s="89"/>
      <c r="M64" s="89"/>
      <c r="N64" s="89"/>
      <c r="O64" s="89"/>
      <c r="P64" s="89"/>
      <c r="Q64" s="89"/>
      <c r="R64" s="89"/>
      <c r="S64" s="89"/>
      <c r="T64" s="89"/>
      <c r="U64" s="89"/>
      <c r="V64" s="89"/>
      <c r="W64" s="88"/>
      <c r="X64" s="89"/>
      <c r="Y64" s="89"/>
      <c r="Z64" s="89"/>
      <c r="AA64" s="89"/>
      <c r="AB64" s="89"/>
      <c r="AC64" s="89"/>
      <c r="AD64" s="89"/>
      <c r="AE64" s="89"/>
      <c r="AF64" s="89"/>
      <c r="AG64" s="89"/>
      <c r="AH64" s="89"/>
    </row>
    <row r="65" spans="12:34" s="85" customFormat="1" x14ac:dyDescent="0.25">
      <c r="L65" s="89"/>
      <c r="M65" s="89"/>
      <c r="N65" s="89"/>
      <c r="O65" s="89"/>
      <c r="P65" s="89"/>
      <c r="Q65" s="89"/>
      <c r="R65" s="89"/>
      <c r="S65" s="89"/>
      <c r="T65" s="89"/>
      <c r="U65" s="89"/>
      <c r="V65" s="89"/>
      <c r="W65" s="88"/>
      <c r="X65" s="89"/>
      <c r="Y65" s="89"/>
      <c r="Z65" s="89"/>
      <c r="AA65" s="89"/>
      <c r="AB65" s="89"/>
      <c r="AC65" s="89"/>
      <c r="AD65" s="89"/>
      <c r="AE65" s="89"/>
      <c r="AF65" s="89"/>
      <c r="AG65" s="89"/>
      <c r="AH65" s="89"/>
    </row>
    <row r="66" spans="12:34" s="85" customFormat="1" x14ac:dyDescent="0.25">
      <c r="L66" s="89"/>
      <c r="M66" s="89"/>
      <c r="N66" s="89"/>
      <c r="O66" s="89"/>
      <c r="P66" s="89"/>
      <c r="Q66" s="89"/>
      <c r="R66" s="89"/>
      <c r="S66" s="89"/>
      <c r="T66" s="89"/>
      <c r="U66" s="89"/>
      <c r="V66" s="89"/>
      <c r="W66" s="88"/>
      <c r="X66" s="89"/>
      <c r="Y66" s="89"/>
      <c r="Z66" s="89"/>
      <c r="AA66" s="89"/>
      <c r="AB66" s="89"/>
      <c r="AC66" s="89"/>
      <c r="AD66" s="89"/>
      <c r="AE66" s="89"/>
      <c r="AF66" s="89"/>
      <c r="AG66" s="89"/>
      <c r="AH66" s="89"/>
    </row>
    <row r="67" spans="12:34" s="85" customFormat="1" x14ac:dyDescent="0.25">
      <c r="L67" s="89"/>
      <c r="M67" s="89"/>
      <c r="N67" s="89"/>
      <c r="O67" s="89"/>
      <c r="P67" s="89"/>
      <c r="Q67" s="89"/>
      <c r="R67" s="89"/>
      <c r="S67" s="89"/>
      <c r="T67" s="89"/>
      <c r="U67" s="89"/>
      <c r="V67" s="89"/>
      <c r="W67" s="88"/>
      <c r="X67" s="89"/>
      <c r="Y67" s="89"/>
      <c r="Z67" s="89"/>
      <c r="AA67" s="89"/>
      <c r="AB67" s="89"/>
      <c r="AC67" s="89"/>
      <c r="AD67" s="89"/>
      <c r="AE67" s="89"/>
      <c r="AF67" s="89"/>
      <c r="AG67" s="89"/>
      <c r="AH67" s="89"/>
    </row>
    <row r="68" spans="12:34" s="85" customFormat="1" x14ac:dyDescent="0.25">
      <c r="L68" s="89"/>
      <c r="M68" s="89"/>
      <c r="N68" s="89"/>
      <c r="O68" s="89"/>
      <c r="P68" s="89"/>
      <c r="Q68" s="89"/>
      <c r="R68" s="89"/>
      <c r="S68" s="89"/>
      <c r="T68" s="89"/>
      <c r="U68" s="89"/>
      <c r="V68" s="89"/>
      <c r="W68" s="88"/>
      <c r="X68" s="89"/>
      <c r="Y68" s="89"/>
      <c r="Z68" s="89"/>
      <c r="AA68" s="89"/>
      <c r="AB68" s="89"/>
      <c r="AC68" s="89"/>
      <c r="AD68" s="89"/>
      <c r="AE68" s="89"/>
      <c r="AF68" s="89"/>
      <c r="AG68" s="89"/>
      <c r="AH68" s="89"/>
    </row>
    <row r="69" spans="12:34" s="85" customFormat="1" x14ac:dyDescent="0.25">
      <c r="L69" s="89"/>
      <c r="M69" s="89"/>
      <c r="N69" s="89"/>
      <c r="O69" s="89"/>
      <c r="P69" s="89"/>
      <c r="Q69" s="89"/>
      <c r="R69" s="89"/>
      <c r="S69" s="89"/>
      <c r="T69" s="89"/>
      <c r="U69" s="89"/>
      <c r="V69" s="89"/>
      <c r="W69" s="88"/>
      <c r="X69" s="89"/>
      <c r="Y69" s="89"/>
      <c r="Z69" s="89"/>
      <c r="AA69" s="89"/>
      <c r="AB69" s="89"/>
      <c r="AC69" s="89"/>
      <c r="AD69" s="89"/>
      <c r="AE69" s="89"/>
      <c r="AF69" s="89"/>
      <c r="AG69" s="89"/>
      <c r="AH69" s="89"/>
    </row>
    <row r="70" spans="12:34" s="85" customFormat="1" x14ac:dyDescent="0.25">
      <c r="L70" s="89"/>
      <c r="M70" s="89"/>
      <c r="N70" s="89"/>
      <c r="O70" s="89"/>
      <c r="P70" s="89"/>
      <c r="Q70" s="89"/>
      <c r="R70" s="89"/>
      <c r="S70" s="89"/>
      <c r="T70" s="89"/>
      <c r="U70" s="89"/>
      <c r="V70" s="89"/>
      <c r="W70" s="88"/>
      <c r="X70" s="89"/>
      <c r="Y70" s="89"/>
      <c r="Z70" s="89"/>
      <c r="AA70" s="89"/>
      <c r="AB70" s="89"/>
      <c r="AC70" s="89"/>
      <c r="AD70" s="89"/>
      <c r="AE70" s="89"/>
      <c r="AF70" s="89"/>
      <c r="AG70" s="89"/>
      <c r="AH70" s="89"/>
    </row>
    <row r="71" spans="12:34" s="85" customFormat="1" x14ac:dyDescent="0.25">
      <c r="L71" s="89"/>
      <c r="M71" s="89"/>
      <c r="N71" s="89"/>
      <c r="O71" s="89"/>
      <c r="P71" s="89"/>
      <c r="Q71" s="89"/>
      <c r="R71" s="89"/>
      <c r="S71" s="89"/>
      <c r="T71" s="89"/>
      <c r="U71" s="89"/>
      <c r="V71" s="89"/>
      <c r="W71" s="88"/>
      <c r="X71" s="89"/>
      <c r="Y71" s="89"/>
      <c r="Z71" s="89"/>
      <c r="AA71" s="89"/>
      <c r="AB71" s="89"/>
      <c r="AC71" s="89"/>
      <c r="AD71" s="89"/>
      <c r="AE71" s="89"/>
      <c r="AF71" s="89"/>
      <c r="AG71" s="89"/>
      <c r="AH71" s="89"/>
    </row>
    <row r="72" spans="12:34" s="85" customFormat="1" x14ac:dyDescent="0.25">
      <c r="L72" s="89"/>
      <c r="M72" s="89"/>
      <c r="N72" s="89"/>
      <c r="O72" s="89"/>
      <c r="P72" s="89"/>
      <c r="Q72" s="89"/>
      <c r="R72" s="89"/>
      <c r="S72" s="89"/>
      <c r="T72" s="89"/>
      <c r="U72" s="89"/>
      <c r="V72" s="89"/>
      <c r="W72" s="88"/>
      <c r="X72" s="89"/>
      <c r="Y72" s="89"/>
      <c r="Z72" s="89"/>
      <c r="AA72" s="89"/>
      <c r="AB72" s="89"/>
      <c r="AC72" s="89"/>
      <c r="AD72" s="89"/>
      <c r="AE72" s="89"/>
      <c r="AF72" s="89"/>
      <c r="AG72" s="89"/>
      <c r="AH72" s="89"/>
    </row>
    <row r="73" spans="12:34" s="85" customFormat="1" x14ac:dyDescent="0.25">
      <c r="L73" s="89"/>
      <c r="M73" s="89"/>
      <c r="N73" s="89"/>
      <c r="O73" s="89"/>
      <c r="P73" s="89"/>
      <c r="Q73" s="89"/>
      <c r="R73" s="89"/>
      <c r="S73" s="89"/>
      <c r="T73" s="89"/>
      <c r="U73" s="89"/>
      <c r="V73" s="89"/>
      <c r="W73" s="88"/>
      <c r="X73" s="89"/>
      <c r="Y73" s="89"/>
      <c r="Z73" s="89"/>
      <c r="AA73" s="89"/>
      <c r="AB73" s="89"/>
      <c r="AC73" s="89"/>
      <c r="AD73" s="89"/>
      <c r="AE73" s="89"/>
      <c r="AF73" s="89"/>
      <c r="AG73" s="89"/>
      <c r="AH73" s="89"/>
    </row>
    <row r="74" spans="12:34" s="85" customFormat="1" x14ac:dyDescent="0.25">
      <c r="L74" s="89"/>
      <c r="M74" s="89"/>
      <c r="N74" s="89"/>
      <c r="O74" s="89"/>
      <c r="P74" s="89"/>
      <c r="Q74" s="89"/>
      <c r="R74" s="89"/>
      <c r="S74" s="89"/>
      <c r="T74" s="89"/>
      <c r="U74" s="89"/>
      <c r="V74" s="89"/>
      <c r="W74" s="88"/>
      <c r="X74" s="89"/>
      <c r="Y74" s="89"/>
      <c r="Z74" s="89"/>
      <c r="AA74" s="89"/>
      <c r="AB74" s="89"/>
      <c r="AC74" s="89"/>
      <c r="AD74" s="89"/>
      <c r="AE74" s="89"/>
      <c r="AF74" s="89"/>
      <c r="AG74" s="89"/>
      <c r="AH74" s="89"/>
    </row>
    <row r="75" spans="12:34" s="85" customFormat="1" x14ac:dyDescent="0.25">
      <c r="L75" s="89"/>
      <c r="M75" s="89"/>
      <c r="N75" s="89"/>
      <c r="O75" s="89"/>
      <c r="P75" s="89"/>
      <c r="Q75" s="89"/>
      <c r="R75" s="89"/>
      <c r="S75" s="89"/>
      <c r="T75" s="89"/>
      <c r="U75" s="89"/>
      <c r="V75" s="89"/>
      <c r="W75" s="88"/>
      <c r="X75" s="89"/>
      <c r="Y75" s="89"/>
      <c r="Z75" s="89"/>
      <c r="AA75" s="89"/>
      <c r="AB75" s="89"/>
      <c r="AC75" s="89"/>
      <c r="AD75" s="89"/>
      <c r="AE75" s="89"/>
      <c r="AF75" s="89"/>
      <c r="AG75" s="89"/>
      <c r="AH75" s="89"/>
    </row>
    <row r="76" spans="12:34" s="85" customFormat="1" x14ac:dyDescent="0.25">
      <c r="L76" s="89"/>
      <c r="M76" s="89"/>
      <c r="N76" s="89"/>
      <c r="O76" s="89"/>
      <c r="P76" s="89"/>
      <c r="Q76" s="89"/>
      <c r="R76" s="89"/>
      <c r="S76" s="89"/>
      <c r="T76" s="89"/>
      <c r="U76" s="89"/>
      <c r="V76" s="89"/>
      <c r="W76" s="88"/>
      <c r="X76" s="89"/>
      <c r="Y76" s="89"/>
      <c r="Z76" s="89"/>
      <c r="AA76" s="89"/>
      <c r="AB76" s="89"/>
      <c r="AC76" s="89"/>
      <c r="AD76" s="89"/>
      <c r="AE76" s="89"/>
      <c r="AF76" s="89"/>
      <c r="AG76" s="89"/>
      <c r="AH76" s="89"/>
    </row>
    <row r="77" spans="12:34" s="85" customFormat="1" x14ac:dyDescent="0.25">
      <c r="L77" s="89"/>
      <c r="M77" s="89"/>
      <c r="N77" s="89"/>
      <c r="O77" s="89"/>
      <c r="P77" s="89"/>
      <c r="Q77" s="89"/>
      <c r="R77" s="89"/>
      <c r="S77" s="89"/>
      <c r="T77" s="89"/>
      <c r="U77" s="89"/>
      <c r="V77" s="89"/>
      <c r="W77" s="88"/>
      <c r="X77" s="89"/>
      <c r="Y77" s="89"/>
      <c r="Z77" s="89"/>
      <c r="AA77" s="89"/>
      <c r="AB77" s="89"/>
      <c r="AC77" s="89"/>
      <c r="AD77" s="89"/>
      <c r="AE77" s="89"/>
      <c r="AF77" s="89"/>
      <c r="AG77" s="89"/>
      <c r="AH77" s="89"/>
    </row>
    <row r="78" spans="12:34" s="85" customFormat="1" x14ac:dyDescent="0.25">
      <c r="L78" s="89"/>
      <c r="M78" s="89"/>
      <c r="N78" s="89"/>
      <c r="O78" s="89"/>
      <c r="P78" s="89"/>
      <c r="Q78" s="89"/>
      <c r="R78" s="89"/>
      <c r="S78" s="89"/>
      <c r="T78" s="89"/>
      <c r="U78" s="89"/>
      <c r="V78" s="89"/>
      <c r="W78" s="88"/>
      <c r="X78" s="89"/>
      <c r="Y78" s="89"/>
      <c r="Z78" s="89"/>
      <c r="AA78" s="89"/>
      <c r="AB78" s="89"/>
      <c r="AC78" s="89"/>
      <c r="AD78" s="89"/>
      <c r="AE78" s="89"/>
      <c r="AF78" s="89"/>
      <c r="AG78" s="89"/>
      <c r="AH78" s="89"/>
    </row>
    <row r="79" spans="12:34" s="85" customFormat="1" x14ac:dyDescent="0.25">
      <c r="L79" s="89"/>
      <c r="M79" s="89"/>
      <c r="N79" s="89"/>
      <c r="O79" s="89"/>
      <c r="P79" s="89"/>
      <c r="Q79" s="89"/>
      <c r="R79" s="89"/>
      <c r="S79" s="89"/>
      <c r="T79" s="89"/>
      <c r="U79" s="89"/>
      <c r="V79" s="89"/>
      <c r="W79" s="88"/>
      <c r="X79" s="89"/>
      <c r="Y79" s="89"/>
      <c r="Z79" s="89"/>
      <c r="AA79" s="89"/>
      <c r="AB79" s="89"/>
      <c r="AC79" s="89"/>
      <c r="AD79" s="89"/>
      <c r="AE79" s="89"/>
      <c r="AF79" s="89"/>
      <c r="AG79" s="89"/>
      <c r="AH79" s="89"/>
    </row>
    <row r="80" spans="12:34" s="85" customFormat="1" x14ac:dyDescent="0.25">
      <c r="L80" s="89"/>
      <c r="M80" s="89"/>
      <c r="N80" s="89"/>
      <c r="O80" s="89"/>
      <c r="P80" s="89"/>
      <c r="Q80" s="89"/>
      <c r="R80" s="89"/>
      <c r="S80" s="89"/>
      <c r="T80" s="89"/>
      <c r="U80" s="89"/>
      <c r="V80" s="89"/>
      <c r="W80" s="88"/>
      <c r="X80" s="89"/>
      <c r="Y80" s="89"/>
      <c r="Z80" s="89"/>
      <c r="AA80" s="89"/>
      <c r="AB80" s="89"/>
      <c r="AC80" s="89"/>
      <c r="AD80" s="89"/>
      <c r="AE80" s="89"/>
      <c r="AF80" s="89"/>
      <c r="AG80" s="89"/>
      <c r="AH80" s="89"/>
    </row>
    <row r="81" spans="12:34" s="85" customFormat="1" x14ac:dyDescent="0.25">
      <c r="L81" s="89"/>
      <c r="M81" s="89"/>
      <c r="N81" s="89"/>
      <c r="O81" s="89"/>
      <c r="P81" s="89"/>
      <c r="Q81" s="89"/>
      <c r="R81" s="89"/>
      <c r="S81" s="89"/>
      <c r="T81" s="89"/>
      <c r="U81" s="89"/>
      <c r="V81" s="89"/>
      <c r="W81" s="88"/>
      <c r="X81" s="89"/>
      <c r="Y81" s="89"/>
      <c r="Z81" s="89"/>
      <c r="AA81" s="89"/>
      <c r="AB81" s="89"/>
      <c r="AC81" s="89"/>
      <c r="AD81" s="89"/>
      <c r="AE81" s="89"/>
      <c r="AF81" s="89"/>
      <c r="AG81" s="89"/>
      <c r="AH81" s="89"/>
    </row>
    <row r="82" spans="12:34" s="85" customFormat="1" x14ac:dyDescent="0.25">
      <c r="L82" s="89"/>
      <c r="M82" s="89"/>
      <c r="N82" s="89"/>
      <c r="O82" s="89"/>
      <c r="P82" s="89"/>
      <c r="Q82" s="89"/>
      <c r="R82" s="89"/>
      <c r="S82" s="89"/>
      <c r="T82" s="89"/>
      <c r="U82" s="89"/>
      <c r="V82" s="89"/>
      <c r="W82" s="88"/>
      <c r="X82" s="89"/>
      <c r="Y82" s="89"/>
      <c r="Z82" s="89"/>
      <c r="AA82" s="89"/>
      <c r="AB82" s="89"/>
      <c r="AC82" s="89"/>
      <c r="AD82" s="89"/>
      <c r="AE82" s="89"/>
      <c r="AF82" s="89"/>
      <c r="AG82" s="89"/>
      <c r="AH82" s="89"/>
    </row>
    <row r="83" spans="12:34" s="85" customFormat="1" x14ac:dyDescent="0.25">
      <c r="L83" s="89"/>
      <c r="M83" s="89"/>
      <c r="N83" s="89"/>
      <c r="O83" s="89"/>
      <c r="P83" s="89"/>
      <c r="Q83" s="89"/>
      <c r="R83" s="89"/>
      <c r="S83" s="89"/>
      <c r="T83" s="89"/>
      <c r="U83" s="89"/>
      <c r="V83" s="89"/>
      <c r="W83" s="88"/>
      <c r="X83" s="89"/>
      <c r="Y83" s="89"/>
      <c r="Z83" s="89"/>
      <c r="AA83" s="89"/>
      <c r="AB83" s="89"/>
      <c r="AC83" s="89"/>
      <c r="AD83" s="89"/>
      <c r="AE83" s="89"/>
      <c r="AF83" s="89"/>
      <c r="AG83" s="89"/>
      <c r="AH83" s="89"/>
    </row>
    <row r="84" spans="12:34" s="85" customFormat="1" x14ac:dyDescent="0.25">
      <c r="L84" s="89"/>
      <c r="M84" s="89"/>
      <c r="N84" s="89"/>
      <c r="O84" s="89"/>
      <c r="P84" s="89"/>
      <c r="Q84" s="89"/>
      <c r="R84" s="89"/>
      <c r="S84" s="89"/>
      <c r="T84" s="89"/>
      <c r="U84" s="89"/>
      <c r="V84" s="89"/>
      <c r="W84" s="88"/>
      <c r="X84" s="89"/>
      <c r="Y84" s="89"/>
      <c r="Z84" s="89"/>
      <c r="AA84" s="89"/>
      <c r="AB84" s="89"/>
      <c r="AC84" s="89"/>
      <c r="AD84" s="89"/>
      <c r="AE84" s="89"/>
      <c r="AF84" s="89"/>
      <c r="AG84" s="89"/>
      <c r="AH84" s="89"/>
    </row>
    <row r="85" spans="12:34" s="85" customFormat="1" x14ac:dyDescent="0.25">
      <c r="L85" s="89"/>
      <c r="M85" s="89"/>
      <c r="N85" s="89"/>
      <c r="O85" s="89"/>
      <c r="P85" s="89"/>
      <c r="Q85" s="89"/>
      <c r="R85" s="89"/>
      <c r="S85" s="89"/>
      <c r="T85" s="89"/>
      <c r="U85" s="89"/>
      <c r="V85" s="89"/>
      <c r="W85" s="88"/>
      <c r="X85" s="89"/>
      <c r="Y85" s="89"/>
      <c r="Z85" s="89"/>
      <c r="AA85" s="89"/>
      <c r="AB85" s="89"/>
      <c r="AC85" s="89"/>
      <c r="AD85" s="89"/>
      <c r="AE85" s="89"/>
      <c r="AF85" s="89"/>
      <c r="AG85" s="89"/>
      <c r="AH85" s="89"/>
    </row>
    <row r="86" spans="12:34" s="85" customFormat="1" x14ac:dyDescent="0.25">
      <c r="L86" s="89"/>
      <c r="M86" s="89"/>
      <c r="N86" s="89"/>
      <c r="O86" s="89"/>
      <c r="P86" s="89"/>
      <c r="Q86" s="89"/>
      <c r="R86" s="89"/>
      <c r="S86" s="89"/>
      <c r="T86" s="89"/>
      <c r="U86" s="89"/>
      <c r="V86" s="89"/>
      <c r="W86" s="88"/>
      <c r="X86" s="89"/>
      <c r="Y86" s="89"/>
      <c r="Z86" s="89"/>
      <c r="AA86" s="89"/>
      <c r="AB86" s="89"/>
      <c r="AC86" s="89"/>
      <c r="AD86" s="89"/>
      <c r="AE86" s="89"/>
      <c r="AF86" s="89"/>
      <c r="AG86" s="89"/>
      <c r="AH86" s="89"/>
    </row>
    <row r="87" spans="12:34" s="85" customFormat="1" x14ac:dyDescent="0.25">
      <c r="L87" s="89"/>
      <c r="M87" s="89"/>
      <c r="N87" s="89"/>
      <c r="O87" s="89"/>
      <c r="P87" s="89"/>
      <c r="Q87" s="89"/>
      <c r="R87" s="89"/>
      <c r="S87" s="89"/>
      <c r="T87" s="89"/>
      <c r="U87" s="89"/>
      <c r="V87" s="89"/>
      <c r="W87" s="88"/>
      <c r="X87" s="89"/>
      <c r="Y87" s="89"/>
      <c r="Z87" s="89"/>
      <c r="AA87" s="89"/>
      <c r="AB87" s="89"/>
      <c r="AC87" s="89"/>
      <c r="AD87" s="89"/>
      <c r="AE87" s="89"/>
      <c r="AF87" s="89"/>
      <c r="AG87" s="89"/>
      <c r="AH87" s="89"/>
    </row>
    <row r="88" spans="12:34" s="85" customFormat="1" x14ac:dyDescent="0.25">
      <c r="L88" s="89"/>
      <c r="M88" s="89"/>
      <c r="N88" s="89"/>
      <c r="O88" s="89"/>
      <c r="P88" s="89"/>
      <c r="Q88" s="89"/>
      <c r="R88" s="89"/>
      <c r="S88" s="89"/>
      <c r="T88" s="89"/>
      <c r="U88" s="89"/>
      <c r="V88" s="89"/>
      <c r="W88" s="88"/>
      <c r="X88" s="89"/>
      <c r="Y88" s="89"/>
      <c r="Z88" s="89"/>
      <c r="AA88" s="89"/>
      <c r="AB88" s="89"/>
      <c r="AC88" s="89"/>
      <c r="AD88" s="89"/>
      <c r="AE88" s="89"/>
      <c r="AF88" s="89"/>
      <c r="AG88" s="89"/>
      <c r="AH88" s="89"/>
    </row>
    <row r="89" spans="12:34" s="85" customFormat="1" x14ac:dyDescent="0.25">
      <c r="L89" s="89"/>
      <c r="M89" s="89"/>
      <c r="N89" s="89"/>
      <c r="O89" s="89"/>
      <c r="P89" s="89"/>
      <c r="Q89" s="89"/>
      <c r="R89" s="89"/>
      <c r="S89" s="89"/>
      <c r="T89" s="89"/>
      <c r="U89" s="89"/>
      <c r="V89" s="89"/>
      <c r="W89" s="88"/>
      <c r="X89" s="89"/>
      <c r="Y89" s="89"/>
      <c r="Z89" s="89"/>
      <c r="AA89" s="89"/>
      <c r="AB89" s="89"/>
      <c r="AC89" s="89"/>
      <c r="AD89" s="89"/>
      <c r="AE89" s="89"/>
      <c r="AF89" s="89"/>
      <c r="AG89" s="89"/>
      <c r="AH89" s="89"/>
    </row>
    <row r="90" spans="12:34" s="85" customFormat="1" x14ac:dyDescent="0.25">
      <c r="L90" s="89"/>
      <c r="M90" s="89"/>
      <c r="N90" s="89"/>
      <c r="O90" s="89"/>
      <c r="P90" s="89"/>
      <c r="Q90" s="89"/>
      <c r="R90" s="89"/>
      <c r="S90" s="89"/>
      <c r="T90" s="89"/>
      <c r="U90" s="89"/>
      <c r="V90" s="89"/>
      <c r="W90" s="88"/>
      <c r="X90" s="89"/>
      <c r="Y90" s="89"/>
      <c r="Z90" s="89"/>
      <c r="AA90" s="89"/>
      <c r="AB90" s="89"/>
      <c r="AC90" s="89"/>
      <c r="AD90" s="89"/>
      <c r="AE90" s="89"/>
      <c r="AF90" s="89"/>
      <c r="AG90" s="89"/>
      <c r="AH90" s="89"/>
    </row>
    <row r="91" spans="12:34" s="85" customFormat="1" x14ac:dyDescent="0.25">
      <c r="L91" s="89"/>
      <c r="M91" s="89"/>
      <c r="N91" s="89"/>
      <c r="O91" s="89"/>
      <c r="P91" s="89"/>
      <c r="Q91" s="89"/>
      <c r="R91" s="89"/>
      <c r="S91" s="89"/>
      <c r="T91" s="89"/>
      <c r="U91" s="89"/>
      <c r="V91" s="89"/>
      <c r="W91" s="88"/>
      <c r="X91" s="89"/>
      <c r="Y91" s="89"/>
      <c r="Z91" s="89"/>
      <c r="AA91" s="89"/>
      <c r="AB91" s="89"/>
      <c r="AC91" s="89"/>
      <c r="AD91" s="89"/>
      <c r="AE91" s="89"/>
      <c r="AF91" s="89"/>
      <c r="AG91" s="89"/>
      <c r="AH91" s="89"/>
    </row>
    <row r="92" spans="12:34" s="85" customFormat="1" x14ac:dyDescent="0.25">
      <c r="L92" s="89"/>
      <c r="M92" s="89"/>
      <c r="N92" s="89"/>
      <c r="O92" s="89"/>
      <c r="P92" s="89"/>
      <c r="Q92" s="89"/>
      <c r="R92" s="89"/>
      <c r="S92" s="89"/>
      <c r="T92" s="89"/>
      <c r="U92" s="89"/>
      <c r="V92" s="89"/>
      <c r="W92" s="88"/>
      <c r="X92" s="89"/>
      <c r="Y92" s="89"/>
      <c r="Z92" s="89"/>
      <c r="AA92" s="89"/>
      <c r="AB92" s="89"/>
      <c r="AC92" s="89"/>
      <c r="AD92" s="89"/>
      <c r="AE92" s="89"/>
      <c r="AF92" s="89"/>
      <c r="AG92" s="89"/>
      <c r="AH92" s="89"/>
    </row>
    <row r="93" spans="12:34" s="85" customFormat="1" x14ac:dyDescent="0.25">
      <c r="L93" s="89"/>
      <c r="M93" s="89"/>
      <c r="N93" s="89"/>
      <c r="O93" s="89"/>
      <c r="P93" s="89"/>
      <c r="Q93" s="89"/>
      <c r="R93" s="89"/>
      <c r="S93" s="89"/>
      <c r="T93" s="89"/>
      <c r="U93" s="89"/>
      <c r="V93" s="89"/>
      <c r="W93" s="88"/>
      <c r="X93" s="89"/>
      <c r="Y93" s="89"/>
      <c r="Z93" s="89"/>
      <c r="AA93" s="89"/>
      <c r="AB93" s="89"/>
      <c r="AC93" s="89"/>
      <c r="AD93" s="89"/>
      <c r="AE93" s="89"/>
      <c r="AF93" s="89"/>
      <c r="AG93" s="89"/>
      <c r="AH93" s="89"/>
    </row>
    <row r="94" spans="12:34" s="85" customFormat="1" x14ac:dyDescent="0.25">
      <c r="L94" s="89"/>
      <c r="M94" s="89"/>
      <c r="N94" s="89"/>
      <c r="O94" s="89"/>
      <c r="P94" s="89"/>
      <c r="Q94" s="89"/>
      <c r="R94" s="89"/>
      <c r="S94" s="89"/>
      <c r="T94" s="89"/>
      <c r="U94" s="89"/>
      <c r="V94" s="89"/>
      <c r="W94" s="88"/>
      <c r="X94" s="89"/>
      <c r="Y94" s="89"/>
      <c r="Z94" s="89"/>
      <c r="AA94" s="89"/>
      <c r="AB94" s="89"/>
      <c r="AC94" s="89"/>
      <c r="AD94" s="89"/>
      <c r="AE94" s="89"/>
      <c r="AF94" s="89"/>
      <c r="AG94" s="89"/>
      <c r="AH94" s="89"/>
    </row>
    <row r="95" spans="12:34" s="85" customFormat="1" x14ac:dyDescent="0.25">
      <c r="L95" s="89"/>
      <c r="M95" s="89"/>
      <c r="N95" s="89"/>
      <c r="O95" s="89"/>
      <c r="P95" s="89"/>
      <c r="Q95" s="89"/>
      <c r="R95" s="89"/>
      <c r="S95" s="89"/>
      <c r="T95" s="89"/>
      <c r="U95" s="89"/>
      <c r="V95" s="89"/>
      <c r="W95" s="88"/>
      <c r="X95" s="89"/>
      <c r="Y95" s="89"/>
      <c r="Z95" s="89"/>
      <c r="AA95" s="89"/>
      <c r="AB95" s="89"/>
      <c r="AC95" s="89"/>
      <c r="AD95" s="89"/>
      <c r="AE95" s="89"/>
      <c r="AF95" s="89"/>
      <c r="AG95" s="89"/>
      <c r="AH95" s="89"/>
    </row>
    <row r="96" spans="12:34" s="85" customFormat="1" x14ac:dyDescent="0.25">
      <c r="L96" s="89"/>
      <c r="M96" s="89"/>
      <c r="N96" s="89"/>
      <c r="O96" s="89"/>
      <c r="P96" s="89"/>
      <c r="Q96" s="89"/>
      <c r="R96" s="89"/>
      <c r="S96" s="89"/>
      <c r="T96" s="89"/>
      <c r="U96" s="89"/>
      <c r="V96" s="89"/>
      <c r="W96" s="88"/>
      <c r="X96" s="89"/>
      <c r="Y96" s="89"/>
      <c r="Z96" s="89"/>
      <c r="AA96" s="89"/>
      <c r="AB96" s="89"/>
      <c r="AC96" s="89"/>
      <c r="AD96" s="89"/>
      <c r="AE96" s="89"/>
      <c r="AF96" s="89"/>
      <c r="AG96" s="89"/>
      <c r="AH96" s="89"/>
    </row>
    <row r="97" spans="12:34" s="85" customFormat="1" x14ac:dyDescent="0.25">
      <c r="L97" s="89"/>
      <c r="M97" s="89"/>
      <c r="N97" s="89"/>
      <c r="O97" s="89"/>
      <c r="P97" s="89"/>
      <c r="Q97" s="89"/>
      <c r="R97" s="89"/>
      <c r="S97" s="89"/>
      <c r="T97" s="89"/>
      <c r="U97" s="89"/>
      <c r="V97" s="89"/>
      <c r="W97" s="88"/>
      <c r="X97" s="89"/>
      <c r="Y97" s="89"/>
      <c r="Z97" s="89"/>
      <c r="AA97" s="89"/>
      <c r="AB97" s="89"/>
      <c r="AC97" s="89"/>
      <c r="AD97" s="89"/>
      <c r="AE97" s="89"/>
      <c r="AF97" s="89"/>
      <c r="AG97" s="89"/>
      <c r="AH97" s="89"/>
    </row>
    <row r="98" spans="12:34" s="85" customFormat="1" x14ac:dyDescent="0.25">
      <c r="L98" s="89"/>
      <c r="M98" s="89"/>
      <c r="N98" s="89"/>
      <c r="O98" s="89"/>
      <c r="P98" s="89"/>
      <c r="Q98" s="89"/>
      <c r="R98" s="89"/>
      <c r="S98" s="89"/>
      <c r="T98" s="89"/>
      <c r="U98" s="89"/>
      <c r="V98" s="89"/>
      <c r="W98" s="88"/>
      <c r="X98" s="89"/>
      <c r="Y98" s="89"/>
      <c r="Z98" s="89"/>
      <c r="AA98" s="89"/>
      <c r="AB98" s="89"/>
      <c r="AC98" s="89"/>
      <c r="AD98" s="89"/>
      <c r="AE98" s="89"/>
      <c r="AF98" s="89"/>
      <c r="AG98" s="89"/>
      <c r="AH98" s="89"/>
    </row>
    <row r="99" spans="12:34" s="85" customFormat="1" x14ac:dyDescent="0.25">
      <c r="L99" s="89"/>
      <c r="M99" s="89"/>
      <c r="N99" s="89"/>
      <c r="O99" s="89"/>
      <c r="P99" s="89"/>
      <c r="Q99" s="89"/>
      <c r="R99" s="89"/>
      <c r="S99" s="89"/>
      <c r="T99" s="89"/>
      <c r="U99" s="89"/>
      <c r="V99" s="89"/>
      <c r="W99" s="88"/>
      <c r="X99" s="89"/>
      <c r="Y99" s="89"/>
      <c r="Z99" s="89"/>
      <c r="AA99" s="89"/>
      <c r="AB99" s="89"/>
      <c r="AC99" s="89"/>
      <c r="AD99" s="89"/>
      <c r="AE99" s="89"/>
      <c r="AF99" s="89"/>
      <c r="AG99" s="89"/>
      <c r="AH99" s="89"/>
    </row>
    <row r="100" spans="12:34" s="85" customFormat="1" x14ac:dyDescent="0.25">
      <c r="L100" s="89"/>
      <c r="M100" s="89"/>
      <c r="N100" s="89"/>
      <c r="O100" s="89"/>
      <c r="P100" s="89"/>
      <c r="Q100" s="89"/>
      <c r="R100" s="89"/>
      <c r="S100" s="89"/>
      <c r="T100" s="89"/>
      <c r="U100" s="89"/>
      <c r="V100" s="89"/>
      <c r="W100" s="88"/>
      <c r="X100" s="89"/>
      <c r="Y100" s="89"/>
      <c r="Z100" s="89"/>
      <c r="AA100" s="89"/>
      <c r="AB100" s="89"/>
      <c r="AC100" s="89"/>
      <c r="AD100" s="89"/>
      <c r="AE100" s="89"/>
      <c r="AF100" s="89"/>
      <c r="AG100" s="89"/>
      <c r="AH100" s="89"/>
    </row>
    <row r="101" spans="12:34" s="85" customFormat="1" x14ac:dyDescent="0.25">
      <c r="L101" s="89"/>
      <c r="M101" s="89"/>
      <c r="N101" s="89"/>
      <c r="O101" s="89"/>
      <c r="P101" s="89"/>
      <c r="Q101" s="89"/>
      <c r="R101" s="89"/>
      <c r="S101" s="89"/>
      <c r="T101" s="89"/>
      <c r="U101" s="89"/>
      <c r="V101" s="89"/>
      <c r="W101" s="88"/>
      <c r="X101" s="89"/>
      <c r="Y101" s="89"/>
      <c r="Z101" s="89"/>
      <c r="AA101" s="89"/>
      <c r="AB101" s="89"/>
      <c r="AC101" s="89"/>
      <c r="AD101" s="89"/>
      <c r="AE101" s="89"/>
      <c r="AF101" s="89"/>
      <c r="AG101" s="89"/>
      <c r="AH101" s="89"/>
    </row>
    <row r="102" spans="12:34" s="85" customFormat="1" x14ac:dyDescent="0.25">
      <c r="L102" s="89"/>
      <c r="M102" s="89"/>
      <c r="N102" s="89"/>
      <c r="O102" s="89"/>
      <c r="P102" s="89"/>
      <c r="Q102" s="89"/>
      <c r="R102" s="89"/>
      <c r="S102" s="89"/>
      <c r="T102" s="89"/>
      <c r="U102" s="89"/>
      <c r="V102" s="89"/>
      <c r="W102" s="88"/>
      <c r="X102" s="89"/>
      <c r="Y102" s="89"/>
      <c r="Z102" s="89"/>
      <c r="AA102" s="89"/>
      <c r="AB102" s="89"/>
      <c r="AC102" s="89"/>
      <c r="AD102" s="89"/>
      <c r="AE102" s="89"/>
      <c r="AF102" s="89"/>
      <c r="AG102" s="89"/>
      <c r="AH102" s="89"/>
    </row>
    <row r="103" spans="12:34" s="85" customFormat="1" x14ac:dyDescent="0.25">
      <c r="L103" s="89"/>
      <c r="M103" s="89"/>
      <c r="N103" s="89"/>
      <c r="O103" s="89"/>
      <c r="P103" s="89"/>
      <c r="Q103" s="89"/>
      <c r="R103" s="89"/>
      <c r="S103" s="89"/>
      <c r="T103" s="89"/>
      <c r="U103" s="89"/>
      <c r="V103" s="89"/>
      <c r="W103" s="88"/>
      <c r="X103" s="89"/>
      <c r="Y103" s="89"/>
      <c r="Z103" s="89"/>
      <c r="AA103" s="89"/>
      <c r="AB103" s="89"/>
      <c r="AC103" s="89"/>
      <c r="AD103" s="89"/>
      <c r="AE103" s="89"/>
      <c r="AF103" s="89"/>
      <c r="AG103" s="89"/>
      <c r="AH103" s="89"/>
    </row>
    <row r="104" spans="12:34" s="85" customFormat="1" x14ac:dyDescent="0.25">
      <c r="L104" s="89"/>
      <c r="M104" s="89"/>
      <c r="N104" s="89"/>
      <c r="O104" s="89"/>
      <c r="P104" s="89"/>
      <c r="Q104" s="89"/>
      <c r="R104" s="89"/>
      <c r="S104" s="89"/>
      <c r="T104" s="89"/>
      <c r="U104" s="89"/>
      <c r="V104" s="89"/>
      <c r="W104" s="88"/>
      <c r="X104" s="89"/>
      <c r="Y104" s="89"/>
      <c r="Z104" s="89"/>
      <c r="AA104" s="89"/>
      <c r="AB104" s="89"/>
      <c r="AC104" s="89"/>
      <c r="AD104" s="89"/>
      <c r="AE104" s="89"/>
      <c r="AF104" s="89"/>
      <c r="AG104" s="89"/>
      <c r="AH104" s="89"/>
    </row>
    <row r="105" spans="12:34" s="85" customFormat="1" x14ac:dyDescent="0.25">
      <c r="L105" s="89"/>
      <c r="M105" s="89"/>
      <c r="N105" s="89"/>
      <c r="O105" s="89"/>
      <c r="P105" s="89"/>
      <c r="Q105" s="89"/>
      <c r="R105" s="89"/>
      <c r="S105" s="89"/>
      <c r="T105" s="89"/>
      <c r="U105" s="89"/>
      <c r="V105" s="89"/>
      <c r="W105" s="88"/>
      <c r="X105" s="89"/>
      <c r="Y105" s="89"/>
      <c r="Z105" s="89"/>
      <c r="AA105" s="89"/>
      <c r="AB105" s="89"/>
      <c r="AC105" s="89"/>
      <c r="AD105" s="89"/>
      <c r="AE105" s="89"/>
      <c r="AF105" s="89"/>
      <c r="AG105" s="89"/>
      <c r="AH105" s="89"/>
    </row>
    <row r="106" spans="12:34" s="85" customFormat="1" x14ac:dyDescent="0.25">
      <c r="L106" s="89"/>
      <c r="M106" s="89"/>
      <c r="N106" s="89"/>
      <c r="O106" s="89"/>
      <c r="P106" s="89"/>
      <c r="Q106" s="89"/>
      <c r="R106" s="89"/>
      <c r="S106" s="89"/>
      <c r="T106" s="89"/>
      <c r="U106" s="89"/>
      <c r="V106" s="89"/>
      <c r="W106" s="88"/>
      <c r="X106" s="89"/>
      <c r="Y106" s="89"/>
      <c r="Z106" s="89"/>
      <c r="AA106" s="89"/>
      <c r="AB106" s="89"/>
      <c r="AC106" s="89"/>
      <c r="AD106" s="89"/>
      <c r="AE106" s="89"/>
      <c r="AF106" s="89"/>
      <c r="AG106" s="89"/>
      <c r="AH106" s="89"/>
    </row>
    <row r="107" spans="12:34" s="85" customFormat="1" x14ac:dyDescent="0.25">
      <c r="L107" s="89"/>
      <c r="M107" s="89"/>
      <c r="N107" s="89"/>
      <c r="O107" s="89"/>
      <c r="P107" s="89"/>
      <c r="Q107" s="89"/>
      <c r="R107" s="89"/>
      <c r="S107" s="89"/>
      <c r="T107" s="89"/>
      <c r="U107" s="89"/>
      <c r="V107" s="89"/>
      <c r="W107" s="88"/>
      <c r="X107" s="89"/>
      <c r="Y107" s="89"/>
      <c r="Z107" s="89"/>
      <c r="AA107" s="89"/>
      <c r="AB107" s="89"/>
      <c r="AC107" s="89"/>
      <c r="AD107" s="89"/>
      <c r="AE107" s="89"/>
      <c r="AF107" s="89"/>
      <c r="AG107" s="89"/>
      <c r="AH107" s="89"/>
    </row>
    <row r="108" spans="12:34" s="85" customFormat="1" x14ac:dyDescent="0.25">
      <c r="L108" s="89"/>
      <c r="M108" s="89"/>
      <c r="N108" s="89"/>
      <c r="O108" s="89"/>
      <c r="P108" s="89"/>
      <c r="Q108" s="89"/>
      <c r="R108" s="89"/>
      <c r="S108" s="89"/>
      <c r="T108" s="89"/>
      <c r="U108" s="89"/>
      <c r="V108" s="89"/>
      <c r="W108" s="88"/>
      <c r="X108" s="89"/>
      <c r="Y108" s="89"/>
      <c r="Z108" s="89"/>
      <c r="AA108" s="89"/>
      <c r="AB108" s="89"/>
      <c r="AC108" s="89"/>
      <c r="AD108" s="89"/>
      <c r="AE108" s="89"/>
      <c r="AF108" s="89"/>
      <c r="AG108" s="89"/>
      <c r="AH108" s="89"/>
    </row>
    <row r="109" spans="12:34" s="85" customFormat="1" x14ac:dyDescent="0.25">
      <c r="L109" s="89"/>
      <c r="M109" s="89"/>
      <c r="N109" s="89"/>
      <c r="O109" s="89"/>
      <c r="P109" s="89"/>
      <c r="Q109" s="89"/>
      <c r="R109" s="89"/>
      <c r="S109" s="89"/>
      <c r="T109" s="89"/>
      <c r="U109" s="89"/>
      <c r="V109" s="89"/>
      <c r="W109" s="88"/>
      <c r="X109" s="89"/>
      <c r="Y109" s="89"/>
      <c r="Z109" s="89"/>
      <c r="AA109" s="89"/>
      <c r="AB109" s="89"/>
      <c r="AC109" s="89"/>
      <c r="AD109" s="89"/>
      <c r="AE109" s="89"/>
      <c r="AF109" s="89"/>
      <c r="AG109" s="89"/>
      <c r="AH109" s="89"/>
    </row>
    <row r="110" spans="12:34" s="85" customFormat="1" x14ac:dyDescent="0.25">
      <c r="L110" s="89"/>
      <c r="M110" s="89"/>
      <c r="N110" s="89"/>
      <c r="O110" s="89"/>
      <c r="P110" s="89"/>
      <c r="Q110" s="89"/>
      <c r="R110" s="89"/>
      <c r="S110" s="89"/>
      <c r="T110" s="89"/>
      <c r="U110" s="89"/>
      <c r="V110" s="89"/>
      <c r="W110" s="88"/>
      <c r="X110" s="89"/>
      <c r="Y110" s="89"/>
      <c r="Z110" s="89"/>
      <c r="AA110" s="89"/>
      <c r="AB110" s="89"/>
      <c r="AC110" s="89"/>
      <c r="AD110" s="89"/>
      <c r="AE110" s="89"/>
      <c r="AF110" s="89"/>
      <c r="AG110" s="89"/>
      <c r="AH110" s="89"/>
    </row>
    <row r="111" spans="12:34" s="85" customFormat="1" x14ac:dyDescent="0.25">
      <c r="L111" s="89"/>
      <c r="M111" s="89"/>
      <c r="N111" s="89"/>
      <c r="O111" s="89"/>
      <c r="P111" s="89"/>
      <c r="Q111" s="89"/>
      <c r="R111" s="89"/>
      <c r="S111" s="89"/>
      <c r="T111" s="89"/>
      <c r="U111" s="89"/>
      <c r="V111" s="89"/>
      <c r="W111" s="88"/>
      <c r="X111" s="89"/>
      <c r="Y111" s="89"/>
      <c r="Z111" s="89"/>
      <c r="AA111" s="89"/>
      <c r="AB111" s="89"/>
      <c r="AC111" s="89"/>
      <c r="AD111" s="89"/>
      <c r="AE111" s="89"/>
      <c r="AF111" s="89"/>
      <c r="AG111" s="89"/>
      <c r="AH111" s="89"/>
    </row>
    <row r="112" spans="12:34" s="85" customFormat="1" x14ac:dyDescent="0.25">
      <c r="L112" s="89"/>
      <c r="M112" s="89"/>
      <c r="N112" s="89"/>
      <c r="O112" s="89"/>
      <c r="P112" s="89"/>
      <c r="Q112" s="89"/>
      <c r="R112" s="89"/>
      <c r="S112" s="89"/>
      <c r="T112" s="89"/>
      <c r="U112" s="89"/>
      <c r="V112" s="89"/>
      <c r="W112" s="88"/>
      <c r="X112" s="89"/>
      <c r="Y112" s="89"/>
      <c r="Z112" s="89"/>
      <c r="AA112" s="89"/>
      <c r="AB112" s="89"/>
      <c r="AC112" s="89"/>
      <c r="AD112" s="89"/>
      <c r="AE112" s="89"/>
      <c r="AF112" s="89"/>
      <c r="AG112" s="89"/>
      <c r="AH112" s="89"/>
    </row>
    <row r="113" spans="12:34" s="85" customFormat="1" x14ac:dyDescent="0.25">
      <c r="L113" s="89"/>
      <c r="M113" s="89"/>
      <c r="N113" s="89"/>
      <c r="O113" s="89"/>
      <c r="P113" s="89"/>
      <c r="Q113" s="89"/>
      <c r="R113" s="89"/>
      <c r="S113" s="89"/>
      <c r="T113" s="89"/>
      <c r="U113" s="89"/>
      <c r="V113" s="89"/>
      <c r="W113" s="88"/>
      <c r="X113" s="89"/>
      <c r="Y113" s="89"/>
      <c r="Z113" s="89"/>
      <c r="AA113" s="89"/>
      <c r="AB113" s="89"/>
      <c r="AC113" s="89"/>
      <c r="AD113" s="89"/>
      <c r="AE113" s="89"/>
      <c r="AF113" s="89"/>
      <c r="AG113" s="89"/>
      <c r="AH113" s="89"/>
    </row>
    <row r="114" spans="12:34" s="85" customFormat="1" x14ac:dyDescent="0.25">
      <c r="L114" s="89"/>
      <c r="M114" s="89"/>
      <c r="N114" s="89"/>
      <c r="O114" s="89"/>
      <c r="P114" s="89"/>
      <c r="Q114" s="89"/>
      <c r="R114" s="89"/>
      <c r="S114" s="89"/>
      <c r="T114" s="89"/>
      <c r="U114" s="89"/>
      <c r="V114" s="89"/>
      <c r="W114" s="88"/>
      <c r="X114" s="89"/>
      <c r="Y114" s="89"/>
      <c r="Z114" s="89"/>
      <c r="AA114" s="89"/>
      <c r="AB114" s="89"/>
      <c r="AC114" s="89"/>
      <c r="AD114" s="89"/>
      <c r="AE114" s="89"/>
      <c r="AF114" s="89"/>
      <c r="AG114" s="89"/>
      <c r="AH114" s="89"/>
    </row>
    <row r="115" spans="12:34" s="85" customFormat="1" x14ac:dyDescent="0.25">
      <c r="L115" s="89"/>
      <c r="M115" s="89"/>
      <c r="N115" s="89"/>
      <c r="O115" s="89"/>
      <c r="P115" s="89"/>
      <c r="Q115" s="89"/>
      <c r="R115" s="89"/>
      <c r="S115" s="89"/>
      <c r="T115" s="89"/>
      <c r="U115" s="89"/>
      <c r="V115" s="89"/>
      <c r="W115" s="88"/>
      <c r="X115" s="89"/>
      <c r="Y115" s="89"/>
      <c r="Z115" s="89"/>
      <c r="AA115" s="89"/>
      <c r="AB115" s="89"/>
      <c r="AC115" s="89"/>
      <c r="AD115" s="89"/>
      <c r="AE115" s="89"/>
      <c r="AF115" s="89"/>
      <c r="AG115" s="89"/>
      <c r="AH115" s="89"/>
    </row>
    <row r="116" spans="12:34" s="85" customFormat="1" x14ac:dyDescent="0.25">
      <c r="L116" s="89"/>
      <c r="M116" s="89"/>
      <c r="N116" s="89"/>
      <c r="O116" s="89"/>
      <c r="P116" s="89"/>
      <c r="Q116" s="89"/>
      <c r="R116" s="89"/>
      <c r="S116" s="89"/>
      <c r="T116" s="89"/>
      <c r="U116" s="89"/>
      <c r="V116" s="89"/>
      <c r="W116" s="88"/>
      <c r="X116" s="89"/>
      <c r="Y116" s="89"/>
      <c r="Z116" s="89"/>
      <c r="AA116" s="89"/>
      <c r="AB116" s="89"/>
      <c r="AC116" s="89"/>
      <c r="AD116" s="89"/>
      <c r="AE116" s="89"/>
      <c r="AF116" s="89"/>
      <c r="AG116" s="89"/>
      <c r="AH116" s="89"/>
    </row>
    <row r="117" spans="12:34" s="85" customFormat="1" x14ac:dyDescent="0.25">
      <c r="L117" s="89"/>
      <c r="M117" s="89"/>
      <c r="N117" s="89"/>
      <c r="O117" s="89"/>
      <c r="P117" s="89"/>
      <c r="Q117" s="89"/>
      <c r="R117" s="89"/>
      <c r="S117" s="89"/>
      <c r="T117" s="89"/>
      <c r="U117" s="89"/>
      <c r="V117" s="89"/>
      <c r="W117" s="88"/>
      <c r="X117" s="89"/>
      <c r="Y117" s="89"/>
      <c r="Z117" s="89"/>
      <c r="AA117" s="89"/>
      <c r="AB117" s="89"/>
      <c r="AC117" s="89"/>
      <c r="AD117" s="89"/>
      <c r="AE117" s="89"/>
      <c r="AF117" s="89"/>
      <c r="AG117" s="89"/>
      <c r="AH117" s="89"/>
    </row>
    <row r="118" spans="12:34" s="85" customFormat="1" x14ac:dyDescent="0.25">
      <c r="L118" s="89"/>
      <c r="M118" s="89"/>
      <c r="N118" s="89"/>
      <c r="O118" s="89"/>
      <c r="P118" s="89"/>
      <c r="Q118" s="89"/>
      <c r="R118" s="89"/>
      <c r="S118" s="89"/>
      <c r="T118" s="89"/>
      <c r="U118" s="89"/>
      <c r="V118" s="89"/>
      <c r="W118" s="88"/>
      <c r="X118" s="89"/>
      <c r="Y118" s="89"/>
      <c r="Z118" s="89"/>
      <c r="AA118" s="89"/>
      <c r="AB118" s="89"/>
      <c r="AC118" s="89"/>
      <c r="AD118" s="89"/>
      <c r="AE118" s="89"/>
      <c r="AF118" s="89"/>
      <c r="AG118" s="89"/>
      <c r="AH118" s="89"/>
    </row>
    <row r="119" spans="12:34" s="85" customFormat="1" x14ac:dyDescent="0.25">
      <c r="L119" s="89"/>
      <c r="M119" s="89"/>
      <c r="N119" s="89"/>
      <c r="O119" s="89"/>
      <c r="P119" s="89"/>
      <c r="Q119" s="89"/>
      <c r="R119" s="89"/>
      <c r="S119" s="89"/>
      <c r="T119" s="89"/>
      <c r="U119" s="89"/>
      <c r="V119" s="89"/>
      <c r="W119" s="88"/>
      <c r="X119" s="89"/>
      <c r="Y119" s="89"/>
      <c r="Z119" s="89"/>
      <c r="AA119" s="89"/>
      <c r="AB119" s="89"/>
      <c r="AC119" s="89"/>
      <c r="AD119" s="89"/>
      <c r="AE119" s="89"/>
      <c r="AF119" s="89"/>
      <c r="AG119" s="89"/>
      <c r="AH119" s="89"/>
    </row>
    <row r="120" spans="12:34" s="85" customFormat="1" x14ac:dyDescent="0.25">
      <c r="L120" s="89"/>
      <c r="M120" s="89"/>
      <c r="N120" s="89"/>
      <c r="O120" s="89"/>
      <c r="P120" s="89"/>
      <c r="Q120" s="89"/>
      <c r="R120" s="89"/>
      <c r="S120" s="89"/>
      <c r="T120" s="89"/>
      <c r="U120" s="89"/>
      <c r="V120" s="89"/>
      <c r="W120" s="88"/>
      <c r="X120" s="89"/>
      <c r="Y120" s="89"/>
      <c r="Z120" s="89"/>
      <c r="AA120" s="89"/>
      <c r="AB120" s="89"/>
      <c r="AC120" s="89"/>
      <c r="AD120" s="89"/>
      <c r="AE120" s="89"/>
      <c r="AF120" s="89"/>
      <c r="AG120" s="89"/>
      <c r="AH120" s="89"/>
    </row>
    <row r="121" spans="12:34" s="85" customFormat="1" x14ac:dyDescent="0.25">
      <c r="L121" s="89"/>
      <c r="M121" s="89"/>
      <c r="N121" s="89"/>
      <c r="O121" s="89"/>
      <c r="P121" s="89"/>
      <c r="Q121" s="89"/>
      <c r="R121" s="89"/>
      <c r="S121" s="89"/>
      <c r="T121" s="89"/>
      <c r="U121" s="89"/>
      <c r="V121" s="89"/>
      <c r="W121" s="88"/>
      <c r="X121" s="89"/>
      <c r="Y121" s="89"/>
      <c r="Z121" s="89"/>
      <c r="AA121" s="89"/>
      <c r="AB121" s="89"/>
      <c r="AC121" s="89"/>
      <c r="AD121" s="89"/>
      <c r="AE121" s="89"/>
      <c r="AF121" s="89"/>
      <c r="AG121" s="89"/>
      <c r="AH121" s="89"/>
    </row>
    <row r="122" spans="12:34" s="85" customFormat="1" x14ac:dyDescent="0.25">
      <c r="L122" s="89"/>
      <c r="M122" s="89"/>
      <c r="N122" s="89"/>
      <c r="O122" s="89"/>
      <c r="P122" s="89"/>
      <c r="Q122" s="89"/>
      <c r="R122" s="89"/>
      <c r="S122" s="89"/>
      <c r="T122" s="89"/>
      <c r="U122" s="89"/>
      <c r="V122" s="89"/>
      <c r="W122" s="88"/>
      <c r="X122" s="89"/>
      <c r="Y122" s="89"/>
      <c r="Z122" s="89"/>
      <c r="AA122" s="89"/>
      <c r="AB122" s="89"/>
      <c r="AC122" s="89"/>
      <c r="AD122" s="89"/>
      <c r="AE122" s="89"/>
      <c r="AF122" s="89"/>
      <c r="AG122" s="89"/>
      <c r="AH122" s="89"/>
    </row>
    <row r="123" spans="12:34" s="85" customFormat="1" x14ac:dyDescent="0.25">
      <c r="L123" s="89"/>
      <c r="M123" s="89"/>
      <c r="N123" s="89"/>
      <c r="O123" s="89"/>
      <c r="P123" s="89"/>
      <c r="Q123" s="89"/>
      <c r="R123" s="89"/>
      <c r="S123" s="89"/>
      <c r="T123" s="89"/>
      <c r="U123" s="89"/>
      <c r="V123" s="89"/>
      <c r="W123" s="88"/>
      <c r="X123" s="89"/>
      <c r="Y123" s="89"/>
      <c r="Z123" s="89"/>
      <c r="AA123" s="89"/>
      <c r="AB123" s="89"/>
      <c r="AC123" s="89"/>
      <c r="AD123" s="89"/>
      <c r="AE123" s="89"/>
      <c r="AF123" s="89"/>
      <c r="AG123" s="89"/>
      <c r="AH123" s="89"/>
    </row>
    <row r="124" spans="12:34" s="85" customFormat="1" x14ac:dyDescent="0.25">
      <c r="L124" s="89"/>
      <c r="M124" s="89"/>
      <c r="N124" s="89"/>
      <c r="O124" s="89"/>
      <c r="P124" s="89"/>
      <c r="Q124" s="89"/>
      <c r="R124" s="89"/>
      <c r="S124" s="89"/>
      <c r="T124" s="89"/>
      <c r="U124" s="89"/>
      <c r="V124" s="89"/>
      <c r="W124" s="88"/>
      <c r="X124" s="89"/>
      <c r="Y124" s="89"/>
      <c r="Z124" s="89"/>
      <c r="AA124" s="89"/>
      <c r="AB124" s="89"/>
      <c r="AC124" s="89"/>
      <c r="AD124" s="89"/>
      <c r="AE124" s="89"/>
      <c r="AF124" s="89"/>
      <c r="AG124" s="89"/>
      <c r="AH124" s="89"/>
    </row>
    <row r="125" spans="12:34" s="85" customFormat="1" x14ac:dyDescent="0.25">
      <c r="L125" s="89"/>
      <c r="M125" s="89"/>
      <c r="N125" s="89"/>
      <c r="O125" s="89"/>
      <c r="P125" s="89"/>
      <c r="Q125" s="89"/>
      <c r="R125" s="89"/>
      <c r="S125" s="89"/>
      <c r="T125" s="89"/>
      <c r="U125" s="89"/>
      <c r="V125" s="89"/>
      <c r="W125" s="88"/>
      <c r="X125" s="89"/>
      <c r="Y125" s="89"/>
      <c r="Z125" s="89"/>
      <c r="AA125" s="89"/>
      <c r="AB125" s="89"/>
      <c r="AC125" s="89"/>
      <c r="AD125" s="89"/>
      <c r="AE125" s="89"/>
      <c r="AF125" s="89"/>
      <c r="AG125" s="89"/>
      <c r="AH125" s="89"/>
    </row>
    <row r="126" spans="12:34" s="85" customFormat="1" x14ac:dyDescent="0.25">
      <c r="L126" s="89"/>
      <c r="M126" s="89"/>
      <c r="N126" s="89"/>
      <c r="O126" s="89"/>
      <c r="P126" s="89"/>
      <c r="Q126" s="89"/>
      <c r="R126" s="89"/>
      <c r="S126" s="89"/>
      <c r="T126" s="89"/>
      <c r="U126" s="89"/>
      <c r="V126" s="89"/>
      <c r="W126" s="88"/>
      <c r="X126" s="89"/>
      <c r="Y126" s="89"/>
      <c r="Z126" s="89"/>
      <c r="AA126" s="89"/>
      <c r="AB126" s="89"/>
      <c r="AC126" s="89"/>
      <c r="AD126" s="89"/>
      <c r="AE126" s="89"/>
      <c r="AF126" s="89"/>
      <c r="AG126" s="89"/>
      <c r="AH126" s="89"/>
    </row>
    <row r="127" spans="12:34" s="85" customFormat="1" x14ac:dyDescent="0.25">
      <c r="L127" s="89"/>
      <c r="M127" s="89"/>
      <c r="N127" s="89"/>
      <c r="O127" s="89"/>
      <c r="P127" s="89"/>
      <c r="Q127" s="89"/>
      <c r="R127" s="89"/>
      <c r="S127" s="89"/>
      <c r="T127" s="89"/>
      <c r="U127" s="89"/>
      <c r="V127" s="89"/>
      <c r="W127" s="88"/>
      <c r="X127" s="89"/>
      <c r="Y127" s="89"/>
      <c r="Z127" s="89"/>
      <c r="AA127" s="89"/>
      <c r="AB127" s="89"/>
      <c r="AC127" s="89"/>
      <c r="AD127" s="89"/>
      <c r="AE127" s="89"/>
      <c r="AF127" s="89"/>
      <c r="AG127" s="89"/>
      <c r="AH127" s="89"/>
    </row>
    <row r="128" spans="12:34" s="85" customFormat="1" x14ac:dyDescent="0.25">
      <c r="L128" s="89"/>
      <c r="M128" s="89"/>
      <c r="N128" s="89"/>
      <c r="O128" s="89"/>
      <c r="P128" s="89"/>
      <c r="Q128" s="89"/>
      <c r="R128" s="89"/>
      <c r="S128" s="89"/>
      <c r="T128" s="89"/>
      <c r="U128" s="89"/>
      <c r="V128" s="89"/>
      <c r="W128" s="88"/>
      <c r="X128" s="89"/>
      <c r="Y128" s="89"/>
      <c r="Z128" s="89"/>
      <c r="AA128" s="89"/>
      <c r="AB128" s="89"/>
      <c r="AC128" s="89"/>
      <c r="AD128" s="89"/>
      <c r="AE128" s="89"/>
      <c r="AF128" s="89"/>
      <c r="AG128" s="89"/>
      <c r="AH128" s="89"/>
    </row>
    <row r="129" spans="12:34" s="85" customFormat="1" x14ac:dyDescent="0.25">
      <c r="L129" s="89"/>
      <c r="M129" s="89"/>
      <c r="N129" s="89"/>
      <c r="O129" s="89"/>
      <c r="P129" s="89"/>
      <c r="Q129" s="89"/>
      <c r="R129" s="89"/>
      <c r="S129" s="89"/>
      <c r="T129" s="89"/>
      <c r="U129" s="89"/>
      <c r="V129" s="89"/>
      <c r="W129" s="88"/>
      <c r="X129" s="89"/>
      <c r="Y129" s="89"/>
      <c r="Z129" s="89"/>
      <c r="AA129" s="89"/>
      <c r="AB129" s="89"/>
      <c r="AC129" s="89"/>
      <c r="AD129" s="89"/>
      <c r="AE129" s="89"/>
      <c r="AF129" s="89"/>
      <c r="AG129" s="89"/>
      <c r="AH129" s="89"/>
    </row>
    <row r="130" spans="12:34" s="85" customFormat="1" x14ac:dyDescent="0.25">
      <c r="L130" s="89"/>
      <c r="M130" s="89"/>
      <c r="N130" s="89"/>
      <c r="O130" s="89"/>
      <c r="P130" s="89"/>
      <c r="Q130" s="89"/>
      <c r="R130" s="89"/>
      <c r="S130" s="89"/>
      <c r="T130" s="89"/>
      <c r="U130" s="89"/>
      <c r="V130" s="89"/>
      <c r="W130" s="88"/>
      <c r="X130" s="89"/>
      <c r="Y130" s="89"/>
      <c r="Z130" s="89"/>
      <c r="AA130" s="89"/>
      <c r="AB130" s="89"/>
      <c r="AC130" s="89"/>
      <c r="AD130" s="89"/>
      <c r="AE130" s="89"/>
      <c r="AF130" s="89"/>
      <c r="AG130" s="89"/>
      <c r="AH130" s="89"/>
    </row>
    <row r="131" spans="12:34" s="85" customFormat="1" x14ac:dyDescent="0.25">
      <c r="L131" s="89"/>
      <c r="M131" s="89"/>
      <c r="N131" s="89"/>
      <c r="O131" s="89"/>
      <c r="P131" s="89"/>
      <c r="Q131" s="89"/>
      <c r="R131" s="89"/>
      <c r="S131" s="89"/>
      <c r="T131" s="89"/>
      <c r="U131" s="89"/>
      <c r="V131" s="89"/>
      <c r="W131" s="88"/>
      <c r="X131" s="89"/>
      <c r="Y131" s="89"/>
      <c r="Z131" s="89"/>
      <c r="AA131" s="89"/>
      <c r="AB131" s="89"/>
      <c r="AC131" s="89"/>
      <c r="AD131" s="89"/>
      <c r="AE131" s="89"/>
      <c r="AF131" s="89"/>
      <c r="AG131" s="89"/>
      <c r="AH131" s="89"/>
    </row>
  </sheetData>
  <sheetProtection algorithmName="SHA-512" hashValue="FyAO+nbIki3M3bINuiQGrsLhBh/lBOlEmfETteEAmwM+9xqP5BbSR27w9UlJrcLgRHro9x828nzTeAFQDiNnQA==" saltValue="sJhViuxbHcVpfpHeQfhnVQ==" spinCount="100000" sheet="1" objects="1" scenarios="1" selectLockedCells="1"/>
  <printOptions horizontalCentered="1" verticalCentered="1"/>
  <pageMargins left="0" right="0" top="0" bottom="0" header="0" footer="0"/>
  <pageSetup scale="4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2">
    <pageSetUpPr fitToPage="1"/>
  </sheetPr>
  <dimension ref="A1:BJ87"/>
  <sheetViews>
    <sheetView showRowColHeaders="0" view="pageBreakPreview" topLeftCell="AM1" zoomScale="85" zoomScaleNormal="100" zoomScaleSheetLayoutView="85" workbookViewId="0">
      <selection activeCell="BA1" sqref="BA1:BI8"/>
    </sheetView>
  </sheetViews>
  <sheetFormatPr defaultRowHeight="15" x14ac:dyDescent="0.25"/>
  <cols>
    <col min="1" max="1" width="255.7109375" style="2" bestFit="1" customWidth="1"/>
    <col min="2" max="2" width="11.5703125" style="2" customWidth="1"/>
    <col min="3" max="4" width="9.7109375" style="2" bestFit="1" customWidth="1"/>
    <col min="5" max="6" width="15.7109375" style="2" bestFit="1" customWidth="1"/>
    <col min="7" max="7" width="9.85546875" style="2" bestFit="1" customWidth="1"/>
    <col min="8" max="8" width="19.5703125" style="2" bestFit="1" customWidth="1"/>
    <col min="9" max="10" width="26" style="2" bestFit="1" customWidth="1"/>
    <col min="11" max="52" width="9.140625" style="2"/>
    <col min="53" max="54" width="8.7109375" style="201" customWidth="1"/>
    <col min="55" max="55" width="9.7109375" style="201" customWidth="1"/>
    <col min="56" max="56" width="10.7109375" style="201" customWidth="1"/>
    <col min="57" max="58" width="8.7109375" style="201" customWidth="1"/>
    <col min="59" max="59" width="10.7109375" style="201" customWidth="1"/>
    <col min="60" max="61" width="9.7109375" style="201" customWidth="1"/>
    <col min="62" max="16384" width="9.140625" style="2"/>
  </cols>
  <sheetData>
    <row r="1" spans="1:62" s="153" customFormat="1" ht="18" x14ac:dyDescent="0.25">
      <c r="A1" s="152" t="s">
        <v>218</v>
      </c>
      <c r="BA1" s="424" t="s">
        <v>177</v>
      </c>
      <c r="BB1" s="425"/>
      <c r="BC1" s="425"/>
      <c r="BD1" s="425"/>
      <c r="BE1" s="425"/>
      <c r="BF1" s="425"/>
      <c r="BG1" s="425"/>
      <c r="BH1" s="425"/>
      <c r="BI1" s="426"/>
      <c r="BJ1" s="4"/>
    </row>
    <row r="2" spans="1:62" s="153" customFormat="1" ht="47.25" x14ac:dyDescent="0.25">
      <c r="A2" s="154" t="s">
        <v>217</v>
      </c>
      <c r="BA2" s="203" t="s">
        <v>46</v>
      </c>
      <c r="BB2" s="204" t="s">
        <v>224</v>
      </c>
      <c r="BC2" s="205" t="s">
        <v>225</v>
      </c>
      <c r="BD2" s="205" t="s">
        <v>226</v>
      </c>
      <c r="BE2" s="204" t="s">
        <v>227</v>
      </c>
      <c r="BF2" s="205" t="s">
        <v>228</v>
      </c>
      <c r="BG2" s="205" t="s">
        <v>229</v>
      </c>
      <c r="BH2" s="204" t="s">
        <v>230</v>
      </c>
      <c r="BI2" s="206" t="s">
        <v>231</v>
      </c>
      <c r="BJ2" s="4"/>
    </row>
    <row r="3" spans="1:62" s="153" customFormat="1" x14ac:dyDescent="0.25">
      <c r="A3" s="155" t="s">
        <v>219</v>
      </c>
      <c r="BA3" s="203" t="s">
        <v>36</v>
      </c>
      <c r="BB3" s="205" t="s">
        <v>36</v>
      </c>
      <c r="BC3" s="205" t="s">
        <v>13</v>
      </c>
      <c r="BD3" s="205" t="s">
        <v>13</v>
      </c>
      <c r="BE3" s="205" t="s">
        <v>13</v>
      </c>
      <c r="BF3" s="205" t="s">
        <v>13</v>
      </c>
      <c r="BG3" s="205" t="s">
        <v>36</v>
      </c>
      <c r="BH3" s="205" t="s">
        <v>37</v>
      </c>
      <c r="BI3" s="207" t="s">
        <v>37</v>
      </c>
      <c r="BJ3" s="4"/>
    </row>
    <row r="4" spans="1:62" x14ac:dyDescent="0.25">
      <c r="A4" s="155" t="s">
        <v>220</v>
      </c>
      <c r="BA4" s="203">
        <v>4</v>
      </c>
      <c r="BB4" s="205">
        <v>4.0999999999999996</v>
      </c>
      <c r="BC4" s="205">
        <v>1.2</v>
      </c>
      <c r="BD4" s="205">
        <v>1.6</v>
      </c>
      <c r="BE4" s="205">
        <v>2.4</v>
      </c>
      <c r="BF4" s="205">
        <v>3</v>
      </c>
      <c r="BG4" s="205">
        <v>0.68</v>
      </c>
      <c r="BH4" s="205">
        <v>70</v>
      </c>
      <c r="BI4" s="207">
        <v>141</v>
      </c>
      <c r="BJ4" s="4"/>
    </row>
    <row r="5" spans="1:62" x14ac:dyDescent="0.25">
      <c r="J5" s="2" t="s">
        <v>19</v>
      </c>
      <c r="T5" s="2" t="s">
        <v>20</v>
      </c>
      <c r="AD5" s="2" t="s">
        <v>21</v>
      </c>
      <c r="AN5" s="2" t="s">
        <v>22</v>
      </c>
      <c r="AX5" s="2" t="s">
        <v>23</v>
      </c>
      <c r="BA5" s="203">
        <v>6</v>
      </c>
      <c r="BB5" s="205">
        <v>5.9</v>
      </c>
      <c r="BC5" s="205">
        <v>3.4</v>
      </c>
      <c r="BD5" s="205">
        <v>4.3</v>
      </c>
      <c r="BE5" s="205">
        <v>6.5</v>
      </c>
      <c r="BF5" s="205">
        <v>8</v>
      </c>
      <c r="BG5" s="205">
        <v>0.95</v>
      </c>
      <c r="BH5" s="205">
        <v>216</v>
      </c>
      <c r="BI5" s="207">
        <v>424</v>
      </c>
      <c r="BJ5" s="4"/>
    </row>
    <row r="6" spans="1:62" x14ac:dyDescent="0.25">
      <c r="BA6" s="203">
        <v>8</v>
      </c>
      <c r="BB6" s="205">
        <v>7.7</v>
      </c>
      <c r="BC6" s="205">
        <v>6.9</v>
      </c>
      <c r="BD6" s="205">
        <v>8.8000000000000007</v>
      </c>
      <c r="BE6" s="205">
        <v>13.3</v>
      </c>
      <c r="BF6" s="205">
        <v>15</v>
      </c>
      <c r="BG6" s="205">
        <v>1.1000000000000001</v>
      </c>
      <c r="BH6" s="205">
        <v>540</v>
      </c>
      <c r="BI6" s="207">
        <v>939</v>
      </c>
      <c r="BJ6" s="4"/>
    </row>
    <row r="7" spans="1:62" x14ac:dyDescent="0.25">
      <c r="BA7" s="203">
        <v>10</v>
      </c>
      <c r="BB7" s="205">
        <v>9.4</v>
      </c>
      <c r="BC7" s="205">
        <v>12</v>
      </c>
      <c r="BD7" s="205">
        <v>15</v>
      </c>
      <c r="BE7" s="205">
        <v>23.3</v>
      </c>
      <c r="BF7" s="205">
        <v>25</v>
      </c>
      <c r="BG7" s="205">
        <v>1.2</v>
      </c>
      <c r="BH7" s="208">
        <v>1050</v>
      </c>
      <c r="BI7" s="209">
        <v>1757</v>
      </c>
      <c r="BJ7" s="4"/>
    </row>
    <row r="8" spans="1:62" ht="15.75" thickBot="1" x14ac:dyDescent="0.3">
      <c r="A8" s="147" t="s">
        <v>154</v>
      </c>
      <c r="B8" s="148"/>
      <c r="C8" s="148"/>
      <c r="D8" s="148"/>
      <c r="E8" s="148"/>
      <c r="F8" s="148"/>
      <c r="G8" s="148"/>
      <c r="H8" s="148"/>
      <c r="I8" s="148"/>
      <c r="J8" s="148"/>
      <c r="K8" s="148"/>
      <c r="BA8" s="210">
        <v>12</v>
      </c>
      <c r="BB8" s="211">
        <v>11.2</v>
      </c>
      <c r="BC8" s="211">
        <v>19</v>
      </c>
      <c r="BD8" s="211">
        <v>24</v>
      </c>
      <c r="BE8" s="211">
        <v>38</v>
      </c>
      <c r="BF8" s="211">
        <v>38</v>
      </c>
      <c r="BG8" s="211">
        <v>1.4</v>
      </c>
      <c r="BH8" s="212">
        <v>1770</v>
      </c>
      <c r="BI8" s="213">
        <v>2970</v>
      </c>
      <c r="BJ8" s="4"/>
    </row>
    <row r="9" spans="1:62" x14ac:dyDescent="0.25">
      <c r="A9" s="149" t="s">
        <v>186</v>
      </c>
      <c r="B9" s="146"/>
      <c r="C9" s="148"/>
      <c r="D9" s="148"/>
      <c r="E9" s="148"/>
      <c r="F9" s="148"/>
      <c r="G9" s="148"/>
      <c r="H9" s="148"/>
      <c r="I9" s="148"/>
      <c r="J9" s="148"/>
      <c r="K9" s="148"/>
      <c r="BA9" s="214"/>
      <c r="BB9" s="214"/>
      <c r="BC9" s="214"/>
      <c r="BD9" s="214"/>
      <c r="BE9" s="214"/>
      <c r="BF9" s="214"/>
      <c r="BG9" s="214"/>
      <c r="BH9" s="214"/>
      <c r="BI9" s="214"/>
      <c r="BJ9" s="4"/>
    </row>
    <row r="10" spans="1:62" x14ac:dyDescent="0.25">
      <c r="A10" s="148" t="s">
        <v>187</v>
      </c>
      <c r="B10" s="148"/>
      <c r="C10" s="148"/>
      <c r="D10" s="148"/>
      <c r="E10" s="148"/>
      <c r="F10" s="148"/>
      <c r="G10" s="148"/>
      <c r="H10" s="148"/>
      <c r="I10" s="148"/>
      <c r="J10" s="148"/>
      <c r="K10" s="148"/>
      <c r="BA10" s="202"/>
      <c r="BB10" s="202"/>
      <c r="BC10" s="202"/>
      <c r="BD10" s="202"/>
      <c r="BE10" s="202"/>
      <c r="BF10" s="202"/>
      <c r="BG10" s="202"/>
      <c r="BH10" s="202"/>
      <c r="BI10" s="202"/>
      <c r="BJ10" s="3"/>
    </row>
    <row r="11" spans="1:62" ht="16.5" customHeight="1" x14ac:dyDescent="0.25">
      <c r="A11" s="150" t="s">
        <v>155</v>
      </c>
      <c r="B11" s="148"/>
      <c r="C11" s="148"/>
      <c r="D11" s="148"/>
      <c r="E11" s="148"/>
      <c r="F11" s="148"/>
      <c r="G11" s="148"/>
      <c r="H11" s="148"/>
      <c r="I11" s="148"/>
      <c r="J11" s="148"/>
      <c r="K11" s="148"/>
    </row>
    <row r="12" spans="1:62" x14ac:dyDescent="0.25">
      <c r="A12" s="149" t="s">
        <v>188</v>
      </c>
      <c r="B12" s="146"/>
      <c r="C12" s="148"/>
      <c r="D12" s="148"/>
      <c r="E12" s="148"/>
      <c r="F12" s="148"/>
      <c r="G12" s="148"/>
      <c r="H12" s="148"/>
      <c r="I12" s="148"/>
      <c r="J12" s="148"/>
      <c r="K12" s="148"/>
    </row>
    <row r="13" spans="1:62" x14ac:dyDescent="0.25">
      <c r="A13" s="148" t="s">
        <v>156</v>
      </c>
      <c r="B13" s="148"/>
      <c r="C13" s="148"/>
      <c r="D13" s="148"/>
      <c r="E13" s="148"/>
      <c r="F13" s="148"/>
      <c r="G13" s="148"/>
      <c r="H13" s="148"/>
      <c r="I13" s="148"/>
      <c r="J13" s="148"/>
      <c r="K13" s="148"/>
    </row>
    <row r="14" spans="1:62" x14ac:dyDescent="0.25">
      <c r="A14" s="148" t="s">
        <v>157</v>
      </c>
      <c r="B14" s="148"/>
      <c r="C14" s="148"/>
      <c r="D14" s="148"/>
      <c r="E14" s="148"/>
      <c r="F14" s="148"/>
      <c r="G14" s="148"/>
      <c r="H14" s="148"/>
      <c r="I14" s="148"/>
      <c r="J14" s="148"/>
      <c r="K14" s="148"/>
    </row>
    <row r="15" spans="1:62" x14ac:dyDescent="0.25">
      <c r="A15" s="149" t="s">
        <v>189</v>
      </c>
      <c r="B15" s="146"/>
      <c r="C15" s="148"/>
      <c r="D15" s="148"/>
      <c r="E15" s="148"/>
      <c r="F15" s="148"/>
      <c r="G15" s="148"/>
      <c r="H15" s="148"/>
      <c r="I15" s="148"/>
      <c r="J15" s="148"/>
      <c r="K15" s="148"/>
    </row>
    <row r="16" spans="1:62" x14ac:dyDescent="0.25">
      <c r="A16" s="148" t="s">
        <v>158</v>
      </c>
      <c r="B16" s="148"/>
      <c r="C16" s="148"/>
      <c r="D16" s="148"/>
      <c r="E16" s="148"/>
      <c r="F16" s="148"/>
      <c r="G16" s="148"/>
      <c r="H16" s="148"/>
      <c r="I16" s="148"/>
      <c r="J16" s="148"/>
      <c r="K16" s="148"/>
    </row>
    <row r="17" spans="1:11" x14ac:dyDescent="0.25">
      <c r="A17" s="148" t="s">
        <v>159</v>
      </c>
      <c r="B17" s="148"/>
      <c r="C17" s="148"/>
      <c r="D17" s="148"/>
      <c r="E17" s="148"/>
      <c r="F17" s="148"/>
      <c r="G17" s="148"/>
      <c r="H17" s="148"/>
      <c r="I17" s="148"/>
      <c r="J17" s="148"/>
      <c r="K17" s="148"/>
    </row>
    <row r="18" spans="1:11" x14ac:dyDescent="0.25">
      <c r="A18" s="148" t="s">
        <v>190</v>
      </c>
      <c r="B18" s="148"/>
      <c r="C18" s="148"/>
      <c r="D18" s="148"/>
      <c r="E18" s="148"/>
      <c r="F18" s="148"/>
      <c r="G18" s="148"/>
      <c r="H18" s="148"/>
      <c r="I18" s="148"/>
      <c r="J18" s="148"/>
      <c r="K18" s="148"/>
    </row>
    <row r="19" spans="1:11" x14ac:dyDescent="0.25">
      <c r="A19" s="148" t="s">
        <v>191</v>
      </c>
      <c r="B19" s="148"/>
      <c r="C19" s="148"/>
      <c r="D19" s="148"/>
      <c r="E19" s="148"/>
      <c r="F19" s="148"/>
      <c r="G19" s="148"/>
      <c r="H19" s="148"/>
      <c r="I19" s="148"/>
      <c r="J19" s="148"/>
      <c r="K19" s="148"/>
    </row>
    <row r="20" spans="1:11" x14ac:dyDescent="0.25">
      <c r="A20" s="148" t="s">
        <v>192</v>
      </c>
      <c r="B20" s="148"/>
      <c r="C20" s="148"/>
      <c r="D20" s="148"/>
      <c r="E20" s="148"/>
      <c r="F20" s="148"/>
      <c r="G20" s="148"/>
      <c r="H20" s="148"/>
      <c r="I20" s="148"/>
      <c r="J20" s="148"/>
      <c r="K20" s="148"/>
    </row>
    <row r="21" spans="1:11" x14ac:dyDescent="0.25">
      <c r="A21" s="149" t="s">
        <v>193</v>
      </c>
      <c r="B21" s="146"/>
      <c r="C21" s="148"/>
      <c r="D21" s="148"/>
      <c r="E21" s="148"/>
      <c r="F21" s="148"/>
      <c r="G21" s="148"/>
      <c r="H21" s="148"/>
      <c r="I21" s="148"/>
      <c r="J21" s="148"/>
      <c r="K21" s="148"/>
    </row>
    <row r="22" spans="1:11" x14ac:dyDescent="0.25">
      <c r="A22" s="148" t="s">
        <v>160</v>
      </c>
      <c r="B22" s="148"/>
      <c r="C22" s="148"/>
      <c r="D22" s="148"/>
      <c r="E22" s="148"/>
      <c r="F22" s="148"/>
      <c r="G22" s="148"/>
      <c r="H22" s="148"/>
      <c r="I22" s="148"/>
      <c r="J22" s="148"/>
      <c r="K22" s="148"/>
    </row>
    <row r="23" spans="1:11" x14ac:dyDescent="0.25">
      <c r="A23" s="148" t="s">
        <v>161</v>
      </c>
      <c r="B23" s="148"/>
      <c r="C23" s="148"/>
      <c r="D23" s="148"/>
      <c r="E23" s="148"/>
      <c r="F23" s="148"/>
      <c r="G23" s="148"/>
      <c r="H23" s="148"/>
      <c r="I23" s="148"/>
      <c r="J23" s="148"/>
      <c r="K23" s="148"/>
    </row>
    <row r="24" spans="1:11" x14ac:dyDescent="0.25">
      <c r="A24" s="148" t="s">
        <v>194</v>
      </c>
      <c r="B24" s="148"/>
      <c r="C24" s="148"/>
      <c r="D24" s="148"/>
      <c r="E24" s="148"/>
      <c r="F24" s="148"/>
      <c r="G24" s="148"/>
      <c r="H24" s="148"/>
      <c r="I24" s="148"/>
      <c r="J24" s="148"/>
      <c r="K24" s="148"/>
    </row>
    <row r="25" spans="1:11" x14ac:dyDescent="0.25">
      <c r="A25" s="148" t="s">
        <v>163</v>
      </c>
      <c r="B25" s="148"/>
      <c r="C25" s="148"/>
      <c r="D25" s="148"/>
      <c r="E25" s="148"/>
      <c r="F25" s="148"/>
      <c r="G25" s="148"/>
      <c r="H25" s="148"/>
      <c r="I25" s="148"/>
      <c r="J25" s="148"/>
      <c r="K25" s="148"/>
    </row>
    <row r="26" spans="1:11" x14ac:dyDescent="0.25">
      <c r="A26" s="148" t="s">
        <v>195</v>
      </c>
      <c r="B26" s="148"/>
      <c r="C26" s="148"/>
      <c r="D26" s="148"/>
      <c r="E26" s="148"/>
      <c r="F26" s="148"/>
      <c r="G26" s="148"/>
      <c r="H26" s="148"/>
      <c r="I26" s="148"/>
      <c r="J26" s="148"/>
      <c r="K26" s="148"/>
    </row>
    <row r="27" spans="1:11" x14ac:dyDescent="0.25">
      <c r="A27" s="148" t="s">
        <v>164</v>
      </c>
      <c r="B27" s="148"/>
      <c r="C27" s="148"/>
      <c r="D27" s="148"/>
      <c r="E27" s="148"/>
      <c r="F27" s="148"/>
      <c r="G27" s="148"/>
      <c r="H27" s="148"/>
      <c r="I27" s="148"/>
      <c r="J27" s="148"/>
      <c r="K27" s="148"/>
    </row>
    <row r="28" spans="1:11" x14ac:dyDescent="0.25">
      <c r="A28" s="148" t="s">
        <v>196</v>
      </c>
      <c r="B28" s="148"/>
      <c r="C28" s="148"/>
      <c r="D28" s="148"/>
      <c r="E28" s="148"/>
      <c r="F28" s="148"/>
      <c r="G28" s="148"/>
      <c r="H28" s="148"/>
      <c r="I28" s="148"/>
      <c r="J28" s="148"/>
      <c r="K28" s="148"/>
    </row>
    <row r="29" spans="1:11" x14ac:dyDescent="0.25">
      <c r="A29" s="148" t="s">
        <v>165</v>
      </c>
      <c r="B29" s="148"/>
      <c r="C29" s="148"/>
      <c r="D29" s="148"/>
      <c r="E29" s="148"/>
      <c r="F29" s="148"/>
      <c r="G29" s="148"/>
      <c r="H29" s="148"/>
      <c r="I29" s="148"/>
      <c r="J29" s="148"/>
      <c r="K29" s="148"/>
    </row>
    <row r="30" spans="1:11" x14ac:dyDescent="0.25">
      <c r="A30" s="148" t="s">
        <v>197</v>
      </c>
      <c r="B30" s="148"/>
      <c r="C30" s="148"/>
      <c r="D30" s="148"/>
      <c r="E30" s="148"/>
      <c r="F30" s="148"/>
      <c r="G30" s="148"/>
      <c r="H30" s="148"/>
      <c r="I30" s="148"/>
      <c r="J30" s="148"/>
      <c r="K30" s="148"/>
    </row>
    <row r="31" spans="1:11" x14ac:dyDescent="0.25">
      <c r="A31" s="149" t="s">
        <v>198</v>
      </c>
      <c r="B31" s="146"/>
      <c r="C31" s="148"/>
      <c r="D31" s="148"/>
      <c r="E31" s="148"/>
      <c r="F31" s="148"/>
      <c r="G31" s="148"/>
      <c r="H31" s="148"/>
      <c r="I31" s="148"/>
      <c r="J31" s="148"/>
      <c r="K31" s="148"/>
    </row>
    <row r="32" spans="1:11" x14ac:dyDescent="0.25">
      <c r="A32" s="148" t="s">
        <v>166</v>
      </c>
      <c r="B32" s="148"/>
      <c r="C32" s="148"/>
      <c r="D32" s="148"/>
      <c r="E32" s="148"/>
      <c r="F32" s="148"/>
      <c r="G32" s="148"/>
      <c r="H32" s="148"/>
      <c r="I32" s="148"/>
      <c r="J32" s="148"/>
      <c r="K32" s="148"/>
    </row>
    <row r="33" spans="1:11" x14ac:dyDescent="0.25">
      <c r="A33" s="148" t="s">
        <v>167</v>
      </c>
      <c r="B33" s="148"/>
      <c r="C33" s="148"/>
      <c r="D33" s="148"/>
      <c r="E33" s="148"/>
      <c r="F33" s="148"/>
      <c r="G33" s="148"/>
      <c r="H33" s="148"/>
      <c r="I33" s="148"/>
      <c r="J33" s="148"/>
      <c r="K33" s="148"/>
    </row>
    <row r="34" spans="1:11" x14ac:dyDescent="0.25">
      <c r="A34" s="148"/>
      <c r="B34" s="148"/>
      <c r="C34" s="148"/>
      <c r="D34" s="148"/>
      <c r="E34" s="148"/>
      <c r="F34" s="148"/>
      <c r="G34" s="148"/>
      <c r="H34" s="148"/>
      <c r="I34" s="148"/>
      <c r="J34" s="148"/>
      <c r="K34" s="148"/>
    </row>
    <row r="35" spans="1:11" x14ac:dyDescent="0.25">
      <c r="A35" s="147" t="s">
        <v>162</v>
      </c>
      <c r="B35" s="148"/>
      <c r="C35" s="148"/>
      <c r="D35" s="148"/>
      <c r="E35" s="148"/>
      <c r="F35" s="148"/>
      <c r="G35" s="148"/>
      <c r="H35" s="148"/>
      <c r="I35" s="148"/>
      <c r="J35" s="148"/>
      <c r="K35" s="148"/>
    </row>
    <row r="36" spans="1:11" x14ac:dyDescent="0.25">
      <c r="A36" s="149" t="s">
        <v>199</v>
      </c>
      <c r="B36" s="146"/>
      <c r="C36" s="148"/>
      <c r="D36" s="148"/>
      <c r="E36" s="148"/>
      <c r="F36" s="148"/>
      <c r="G36" s="148"/>
      <c r="H36" s="148"/>
      <c r="I36" s="148"/>
      <c r="J36" s="148"/>
      <c r="K36" s="148"/>
    </row>
    <row r="37" spans="1:11" x14ac:dyDescent="0.25">
      <c r="A37" s="148" t="s">
        <v>168</v>
      </c>
      <c r="B37" s="148"/>
      <c r="C37" s="148"/>
      <c r="D37" s="148"/>
      <c r="E37" s="148"/>
      <c r="F37" s="148"/>
      <c r="G37" s="148"/>
      <c r="H37" s="148"/>
      <c r="I37" s="148"/>
      <c r="J37" s="148"/>
      <c r="K37" s="148"/>
    </row>
    <row r="38" spans="1:11" x14ac:dyDescent="0.25">
      <c r="A38" s="148" t="s">
        <v>169</v>
      </c>
      <c r="B38" s="148"/>
      <c r="C38" s="148"/>
      <c r="D38" s="148"/>
      <c r="E38" s="148"/>
      <c r="F38" s="148"/>
      <c r="G38" s="148"/>
      <c r="H38" s="148"/>
      <c r="I38" s="148"/>
      <c r="J38" s="148"/>
      <c r="K38" s="148"/>
    </row>
    <row r="39" spans="1:11" x14ac:dyDescent="0.25">
      <c r="A39" s="148" t="s">
        <v>170</v>
      </c>
      <c r="B39" s="148"/>
      <c r="C39" s="148"/>
      <c r="D39" s="148"/>
      <c r="E39" s="148"/>
      <c r="F39" s="148"/>
      <c r="G39" s="148"/>
      <c r="H39" s="148"/>
      <c r="I39" s="148"/>
      <c r="J39" s="148"/>
      <c r="K39" s="148"/>
    </row>
    <row r="40" spans="1:11" x14ac:dyDescent="0.25">
      <c r="A40" s="148" t="s">
        <v>200</v>
      </c>
      <c r="B40" s="148"/>
      <c r="C40" s="148"/>
      <c r="D40" s="148"/>
      <c r="E40" s="148"/>
      <c r="F40" s="148"/>
      <c r="G40" s="148"/>
      <c r="H40" s="148"/>
      <c r="I40" s="148"/>
      <c r="J40" s="148"/>
      <c r="K40" s="148"/>
    </row>
    <row r="41" spans="1:11" x14ac:dyDescent="0.25">
      <c r="A41" s="148" t="s">
        <v>171</v>
      </c>
      <c r="B41" s="148"/>
      <c r="C41" s="148"/>
      <c r="D41" s="148"/>
      <c r="E41" s="148"/>
      <c r="F41" s="148"/>
      <c r="G41" s="148"/>
      <c r="H41" s="148"/>
      <c r="I41" s="148"/>
      <c r="J41" s="148"/>
      <c r="K41" s="148"/>
    </row>
    <row r="42" spans="1:11" x14ac:dyDescent="0.25">
      <c r="A42" s="149" t="s">
        <v>201</v>
      </c>
      <c r="B42" s="146"/>
      <c r="C42" s="148"/>
      <c r="D42" s="148"/>
      <c r="E42" s="148"/>
      <c r="F42" s="148"/>
      <c r="G42" s="148"/>
      <c r="H42" s="148"/>
      <c r="I42" s="148"/>
      <c r="J42" s="148"/>
      <c r="K42" s="148"/>
    </row>
    <row r="43" spans="1:11" x14ac:dyDescent="0.25">
      <c r="A43" s="148" t="s">
        <v>172</v>
      </c>
      <c r="B43" s="148"/>
      <c r="C43" s="148"/>
      <c r="D43" s="148"/>
      <c r="E43" s="148"/>
      <c r="F43" s="148"/>
      <c r="G43" s="148"/>
      <c r="H43" s="148"/>
      <c r="I43" s="148"/>
      <c r="J43" s="148"/>
      <c r="K43" s="148"/>
    </row>
    <row r="44" spans="1:11" x14ac:dyDescent="0.25">
      <c r="A44" s="148" t="s">
        <v>173</v>
      </c>
      <c r="B44" s="148"/>
      <c r="C44" s="148"/>
      <c r="D44" s="148"/>
      <c r="E44" s="148"/>
      <c r="F44" s="148"/>
      <c r="G44" s="148"/>
      <c r="H44" s="148"/>
      <c r="I44" s="148"/>
      <c r="J44" s="148"/>
      <c r="K44" s="148"/>
    </row>
    <row r="45" spans="1:11" x14ac:dyDescent="0.25">
      <c r="A45" s="148" t="s">
        <v>174</v>
      </c>
      <c r="B45" s="148"/>
      <c r="C45" s="148"/>
      <c r="D45" s="148"/>
      <c r="E45" s="148"/>
      <c r="F45" s="148"/>
      <c r="G45" s="148"/>
      <c r="H45" s="148"/>
      <c r="I45" s="148"/>
      <c r="J45" s="148"/>
      <c r="K45" s="148"/>
    </row>
    <row r="46" spans="1:11" x14ac:dyDescent="0.25">
      <c r="A46" s="148" t="s">
        <v>175</v>
      </c>
      <c r="B46" s="148"/>
      <c r="C46" s="148"/>
      <c r="D46" s="148"/>
      <c r="E46" s="148"/>
      <c r="F46" s="148"/>
      <c r="G46" s="148"/>
      <c r="H46" s="148"/>
      <c r="I46" s="148"/>
      <c r="J46" s="148"/>
      <c r="K46" s="148"/>
    </row>
    <row r="47" spans="1:11" x14ac:dyDescent="0.25">
      <c r="A47" s="148" t="s">
        <v>176</v>
      </c>
      <c r="B47" s="148"/>
      <c r="C47" s="148"/>
      <c r="D47" s="148"/>
      <c r="E47" s="148"/>
      <c r="F47" s="148"/>
      <c r="G47" s="148"/>
      <c r="H47" s="148"/>
      <c r="I47" s="148"/>
      <c r="J47" s="148"/>
      <c r="K47" s="148"/>
    </row>
    <row r="48" spans="1:11" x14ac:dyDescent="0.25">
      <c r="A48" s="151" t="s">
        <v>216</v>
      </c>
      <c r="B48" s="148"/>
      <c r="C48" s="148"/>
      <c r="D48" s="148"/>
      <c r="E48" s="148"/>
      <c r="F48" s="148"/>
      <c r="G48" s="148"/>
      <c r="H48" s="148"/>
      <c r="I48" s="148"/>
      <c r="J48" s="148"/>
      <c r="K48" s="148"/>
    </row>
    <row r="49" spans="1:11" x14ac:dyDescent="0.25">
      <c r="A49" s="148" t="s">
        <v>28</v>
      </c>
      <c r="B49" s="148"/>
      <c r="C49" s="148"/>
      <c r="D49" s="148"/>
      <c r="E49" s="148"/>
      <c r="F49" s="148"/>
      <c r="G49" s="148"/>
      <c r="H49" s="148"/>
      <c r="I49" s="148"/>
      <c r="J49" s="148"/>
      <c r="K49" s="148"/>
    </row>
    <row r="50" spans="1:11" x14ac:dyDescent="0.25">
      <c r="A50" s="148" t="s">
        <v>178</v>
      </c>
      <c r="B50" s="148"/>
      <c r="C50" s="148"/>
      <c r="D50" s="148"/>
      <c r="E50" s="148"/>
      <c r="F50" s="148"/>
      <c r="G50" s="148"/>
      <c r="H50" s="148"/>
      <c r="I50" s="148"/>
      <c r="J50" s="148"/>
      <c r="K50" s="148"/>
    </row>
    <row r="51" spans="1:11" x14ac:dyDescent="0.25">
      <c r="A51" s="148" t="s">
        <v>179</v>
      </c>
      <c r="B51" s="148"/>
      <c r="C51" s="148"/>
      <c r="D51" s="148"/>
      <c r="E51" s="148"/>
      <c r="F51" s="148"/>
      <c r="G51" s="148"/>
      <c r="H51" s="148"/>
      <c r="I51" s="148"/>
      <c r="J51" s="148"/>
      <c r="K51" s="148"/>
    </row>
    <row r="52" spans="1:11" x14ac:dyDescent="0.25">
      <c r="A52" s="148" t="s">
        <v>180</v>
      </c>
      <c r="B52" s="148"/>
      <c r="C52" s="148"/>
      <c r="D52" s="148"/>
      <c r="E52" s="148"/>
      <c r="F52" s="148"/>
      <c r="G52" s="148"/>
      <c r="H52" s="148"/>
      <c r="I52" s="148"/>
      <c r="J52" s="148"/>
      <c r="K52" s="148"/>
    </row>
    <row r="53" spans="1:11" x14ac:dyDescent="0.25">
      <c r="A53" s="148" t="s">
        <v>181</v>
      </c>
      <c r="B53" s="148"/>
      <c r="C53" s="148"/>
      <c r="D53" s="148"/>
      <c r="E53" s="148"/>
      <c r="F53" s="148"/>
      <c r="G53" s="148"/>
      <c r="H53" s="148"/>
      <c r="I53" s="148"/>
      <c r="J53" s="148"/>
      <c r="K53" s="148"/>
    </row>
    <row r="54" spans="1:11" x14ac:dyDescent="0.25">
      <c r="A54" s="148" t="s">
        <v>182</v>
      </c>
      <c r="B54" s="148"/>
      <c r="C54" s="148"/>
      <c r="D54" s="148"/>
      <c r="E54" s="148"/>
      <c r="F54" s="148"/>
      <c r="G54" s="148"/>
      <c r="H54" s="148"/>
      <c r="I54" s="148"/>
      <c r="J54" s="148"/>
      <c r="K54" s="148"/>
    </row>
    <row r="55" spans="1:11" x14ac:dyDescent="0.25">
      <c r="A55" s="2" t="s">
        <v>232</v>
      </c>
      <c r="B55" s="148"/>
      <c r="C55" s="148"/>
      <c r="D55" s="148"/>
      <c r="E55" s="148"/>
      <c r="F55" s="148"/>
      <c r="G55" s="148"/>
      <c r="H55" s="148"/>
      <c r="I55" s="148"/>
      <c r="J55" s="148"/>
      <c r="K55" s="148"/>
    </row>
    <row r="56" spans="1:11" x14ac:dyDescent="0.25">
      <c r="A56" s="148"/>
      <c r="B56" s="148"/>
      <c r="C56" s="148"/>
      <c r="D56" s="148"/>
      <c r="E56" s="148"/>
      <c r="F56" s="148"/>
      <c r="G56" s="148"/>
      <c r="H56" s="148"/>
      <c r="I56" s="148"/>
      <c r="J56" s="148"/>
      <c r="K56" s="148"/>
    </row>
    <row r="57" spans="1:11" x14ac:dyDescent="0.25">
      <c r="A57" s="147" t="s">
        <v>183</v>
      </c>
      <c r="B57" s="148"/>
      <c r="C57" s="148"/>
      <c r="D57" s="148"/>
      <c r="E57" s="148"/>
      <c r="F57" s="148"/>
      <c r="G57" s="148"/>
      <c r="H57" s="148"/>
      <c r="I57" s="148"/>
      <c r="J57" s="148"/>
      <c r="K57" s="148"/>
    </row>
    <row r="58" spans="1:11" x14ac:dyDescent="0.25">
      <c r="A58" s="148" t="s">
        <v>202</v>
      </c>
      <c r="B58" s="148"/>
      <c r="C58" s="148"/>
      <c r="D58" s="148"/>
      <c r="E58" s="148"/>
      <c r="F58" s="148"/>
      <c r="G58" s="148"/>
      <c r="H58" s="148"/>
      <c r="I58" s="148"/>
      <c r="J58" s="148"/>
      <c r="K58" s="148"/>
    </row>
    <row r="59" spans="1:11" x14ac:dyDescent="0.25">
      <c r="A59" s="148" t="s">
        <v>203</v>
      </c>
      <c r="B59" s="148"/>
      <c r="C59" s="148"/>
      <c r="D59" s="148"/>
      <c r="E59" s="148"/>
      <c r="F59" s="148"/>
      <c r="G59" s="148"/>
      <c r="H59" s="148"/>
      <c r="I59" s="148"/>
      <c r="J59" s="148"/>
      <c r="K59" s="148"/>
    </row>
    <row r="60" spans="1:11" x14ac:dyDescent="0.25">
      <c r="A60" s="148" t="s">
        <v>204</v>
      </c>
      <c r="B60" s="148"/>
      <c r="C60" s="148"/>
      <c r="D60" s="148"/>
      <c r="E60" s="148"/>
      <c r="F60" s="148"/>
      <c r="G60" s="148"/>
      <c r="H60" s="148"/>
      <c r="I60" s="148"/>
      <c r="J60" s="148"/>
      <c r="K60" s="148"/>
    </row>
    <row r="61" spans="1:11" x14ac:dyDescent="0.25">
      <c r="A61" s="148" t="s">
        <v>205</v>
      </c>
      <c r="B61" s="148"/>
      <c r="C61" s="148"/>
      <c r="D61" s="148"/>
      <c r="E61" s="148"/>
      <c r="F61" s="148"/>
      <c r="G61" s="148"/>
      <c r="H61" s="148"/>
      <c r="I61" s="148"/>
      <c r="J61" s="148"/>
      <c r="K61" s="148"/>
    </row>
    <row r="62" spans="1:11" x14ac:dyDescent="0.25">
      <c r="A62" s="148"/>
      <c r="B62" s="148"/>
      <c r="C62" s="148"/>
      <c r="D62" s="148"/>
      <c r="E62" s="148"/>
      <c r="F62" s="148"/>
      <c r="G62" s="148"/>
      <c r="H62" s="148"/>
      <c r="I62" s="148"/>
      <c r="J62" s="148"/>
      <c r="K62" s="148"/>
    </row>
    <row r="63" spans="1:11" x14ac:dyDescent="0.25">
      <c r="A63" s="147" t="s">
        <v>184</v>
      </c>
      <c r="B63" s="148"/>
      <c r="C63" s="148"/>
      <c r="D63" s="148"/>
      <c r="E63" s="148"/>
      <c r="F63" s="148"/>
      <c r="G63" s="148"/>
      <c r="H63" s="148"/>
      <c r="I63" s="148"/>
      <c r="J63" s="148"/>
      <c r="K63" s="148"/>
    </row>
    <row r="64" spans="1:11" x14ac:dyDescent="0.25">
      <c r="A64" s="148" t="s">
        <v>206</v>
      </c>
      <c r="B64" s="148"/>
      <c r="C64" s="148"/>
      <c r="D64" s="148"/>
      <c r="E64" s="148"/>
      <c r="F64" s="148"/>
      <c r="G64" s="148"/>
      <c r="H64" s="148"/>
      <c r="I64" s="148"/>
      <c r="J64" s="148"/>
      <c r="K64" s="148"/>
    </row>
    <row r="65" spans="1:11" x14ac:dyDescent="0.25">
      <c r="A65" s="148" t="s">
        <v>207</v>
      </c>
      <c r="B65" s="148"/>
      <c r="C65" s="148"/>
      <c r="D65" s="148"/>
      <c r="E65" s="148"/>
      <c r="F65" s="148"/>
      <c r="G65" s="148"/>
      <c r="H65" s="148"/>
      <c r="I65" s="148"/>
      <c r="J65" s="148"/>
      <c r="K65" s="148"/>
    </row>
    <row r="66" spans="1:11" x14ac:dyDescent="0.25">
      <c r="A66" s="148" t="s">
        <v>208</v>
      </c>
      <c r="B66" s="148"/>
      <c r="C66" s="148"/>
      <c r="D66" s="148"/>
      <c r="E66" s="148"/>
      <c r="F66" s="148"/>
      <c r="G66" s="148"/>
      <c r="H66" s="148"/>
      <c r="I66" s="148"/>
      <c r="J66" s="148"/>
      <c r="K66" s="148"/>
    </row>
    <row r="67" spans="1:11" x14ac:dyDescent="0.25">
      <c r="A67" s="148" t="s">
        <v>209</v>
      </c>
      <c r="B67" s="148"/>
      <c r="C67" s="148"/>
      <c r="D67" s="148"/>
      <c r="E67" s="148"/>
      <c r="F67" s="148"/>
      <c r="G67" s="148"/>
      <c r="H67" s="148"/>
      <c r="I67" s="148"/>
      <c r="J67" s="148"/>
      <c r="K67" s="148"/>
    </row>
    <row r="68" spans="1:11" x14ac:dyDescent="0.25">
      <c r="A68" s="148"/>
      <c r="B68" s="148"/>
      <c r="C68" s="148"/>
      <c r="D68" s="148"/>
      <c r="E68" s="148"/>
      <c r="F68" s="148"/>
      <c r="G68" s="148"/>
      <c r="H68" s="148"/>
      <c r="I68" s="148"/>
      <c r="J68" s="148"/>
      <c r="K68" s="148"/>
    </row>
    <row r="69" spans="1:11" x14ac:dyDescent="0.25">
      <c r="A69" s="147" t="s">
        <v>185</v>
      </c>
      <c r="B69" s="148"/>
      <c r="C69" s="148"/>
      <c r="D69" s="148"/>
      <c r="E69" s="148"/>
      <c r="F69" s="148"/>
      <c r="G69" s="148"/>
      <c r="H69" s="148"/>
      <c r="I69" s="148"/>
      <c r="J69" s="148"/>
      <c r="K69" s="148"/>
    </row>
    <row r="70" spans="1:11" x14ac:dyDescent="0.25">
      <c r="A70" s="148" t="s">
        <v>210</v>
      </c>
      <c r="B70" s="148"/>
      <c r="C70" s="148"/>
      <c r="D70" s="148"/>
      <c r="E70" s="148"/>
      <c r="F70" s="148"/>
      <c r="G70" s="148"/>
      <c r="H70" s="148"/>
      <c r="I70" s="148"/>
      <c r="J70" s="148"/>
      <c r="K70" s="148"/>
    </row>
    <row r="71" spans="1:11" x14ac:dyDescent="0.25">
      <c r="A71" s="148" t="s">
        <v>211</v>
      </c>
      <c r="B71" s="148"/>
      <c r="C71" s="148"/>
      <c r="D71" s="148"/>
      <c r="E71" s="148"/>
      <c r="F71" s="148"/>
      <c r="G71" s="148"/>
      <c r="H71" s="148"/>
      <c r="I71" s="148"/>
      <c r="J71" s="148"/>
      <c r="K71" s="148"/>
    </row>
    <row r="72" spans="1:11" x14ac:dyDescent="0.25">
      <c r="A72" s="148" t="s">
        <v>212</v>
      </c>
      <c r="B72" s="148"/>
      <c r="C72" s="148"/>
      <c r="D72" s="148"/>
      <c r="E72" s="148"/>
      <c r="F72" s="148"/>
      <c r="G72" s="148"/>
      <c r="H72" s="148"/>
      <c r="I72" s="148"/>
      <c r="J72" s="148"/>
      <c r="K72" s="148"/>
    </row>
    <row r="73" spans="1:11" x14ac:dyDescent="0.25">
      <c r="A73" s="148" t="s">
        <v>213</v>
      </c>
      <c r="B73" s="148"/>
      <c r="C73" s="148"/>
      <c r="D73" s="148"/>
      <c r="E73" s="148"/>
      <c r="F73" s="148"/>
      <c r="G73" s="148"/>
      <c r="H73" s="148"/>
      <c r="I73" s="148"/>
      <c r="J73" s="148"/>
      <c r="K73" s="148"/>
    </row>
    <row r="74" spans="1:11" x14ac:dyDescent="0.25">
      <c r="A74" s="148" t="s">
        <v>214</v>
      </c>
      <c r="B74" s="148"/>
      <c r="C74" s="148"/>
      <c r="D74" s="148"/>
      <c r="E74" s="148"/>
      <c r="F74" s="148"/>
      <c r="G74" s="148"/>
      <c r="H74" s="148"/>
      <c r="I74" s="148"/>
      <c r="J74" s="148"/>
      <c r="K74" s="148"/>
    </row>
    <row r="75" spans="1:11" x14ac:dyDescent="0.25">
      <c r="A75" s="148" t="s">
        <v>215</v>
      </c>
      <c r="B75" s="148"/>
      <c r="C75" s="148"/>
      <c r="D75" s="148"/>
      <c r="E75" s="148"/>
      <c r="F75" s="148"/>
      <c r="G75" s="148"/>
      <c r="H75" s="148"/>
      <c r="I75" s="148"/>
      <c r="J75" s="148"/>
      <c r="K75" s="148"/>
    </row>
    <row r="76" spans="1:11" x14ac:dyDescent="0.25">
      <c r="A76" s="148"/>
      <c r="B76" s="148"/>
      <c r="C76" s="148"/>
      <c r="D76" s="148"/>
      <c r="E76" s="148"/>
      <c r="F76" s="148"/>
      <c r="G76" s="148"/>
      <c r="H76" s="148"/>
      <c r="I76" s="148"/>
      <c r="J76" s="148"/>
      <c r="K76" s="148"/>
    </row>
    <row r="87" spans="12:21" x14ac:dyDescent="0.25">
      <c r="L87"/>
      <c r="M87"/>
      <c r="N87"/>
      <c r="O87"/>
      <c r="P87"/>
      <c r="Q87"/>
      <c r="R87"/>
      <c r="S87"/>
      <c r="T87"/>
      <c r="U87"/>
    </row>
  </sheetData>
  <sheetProtection algorithmName="SHA-512" hashValue="cyzwbfWv3e4dOYJAiQVnC0hss0QvSAwLpfQNoo6gcPf/B4vTJi7fNTEIH2MUUtsP2pd/KqnHeHU8/No+qRniIg==" saltValue="50jErbx+5tGjIjdB5zDNLQ==" spinCount="100000" sheet="1" objects="1" scenarios="1"/>
  <mergeCells count="1">
    <mergeCell ref="BA1:BI1"/>
  </mergeCells>
  <hyperlinks>
    <hyperlink ref="A2" r:id="rId1" xr:uid="{00000000-0004-0000-0700-000000000000}"/>
  </hyperlinks>
  <pageMargins left="0.25" right="0.25" top="0.75" bottom="0.75" header="0.3" footer="0.3"/>
  <pageSetup scale="13" fitToHeight="0" orientation="portrait" r:id="rId2"/>
  <headerFooter>
    <oddHeader xml:space="preserve">&amp;C       </oddHeader>
    <oddFooter xml:space="preserve">&amp;C    
</oddFooter>
  </headerFooter>
  <drawing r:id="rId3"/>
  <legacyDrawing r:id="rId4"/>
  <controls>
    <mc:AlternateContent xmlns:mc="http://schemas.openxmlformats.org/markup-compatibility/2006">
      <mc:Choice Requires="x14">
        <control shapeId="8199" r:id="rId5" name="CommandButton2">
          <controlPr defaultSize="0" autoLine="0" r:id="rId6">
            <anchor moveWithCells="1">
              <from>
                <xdr:col>0</xdr:col>
                <xdr:colOff>161925</xdr:colOff>
                <xdr:row>4</xdr:row>
                <xdr:rowOff>161925</xdr:rowOff>
              </from>
              <to>
                <xdr:col>0</xdr:col>
                <xdr:colOff>1981200</xdr:colOff>
                <xdr:row>6</xdr:row>
                <xdr:rowOff>114300</xdr:rowOff>
              </to>
            </anchor>
          </controlPr>
        </control>
      </mc:Choice>
      <mc:Fallback>
        <control shapeId="8199" r:id="rId5" name="CommandButton2"/>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AS19"/>
  <sheetViews>
    <sheetView zoomScaleNormal="100" workbookViewId="0">
      <selection activeCell="Q13" sqref="Q13"/>
    </sheetView>
  </sheetViews>
  <sheetFormatPr defaultRowHeight="15" x14ac:dyDescent="0.25"/>
  <cols>
    <col min="1" max="4" width="9.140625" customWidth="1"/>
    <col min="5" max="5" width="7.85546875" customWidth="1"/>
    <col min="6" max="6" width="10.7109375" customWidth="1"/>
    <col min="7" max="9" width="9.28515625" customWidth="1"/>
    <col min="10" max="10" width="13.85546875" customWidth="1"/>
    <col min="11" max="12" width="9.140625" customWidth="1"/>
    <col min="13" max="13" width="14.7109375" customWidth="1"/>
    <col min="14" max="14" width="9.28515625" customWidth="1"/>
    <col min="15" max="15" width="10.42578125" customWidth="1"/>
    <col min="16" max="16" width="10.28515625" customWidth="1"/>
    <col min="17" max="18" width="9.28515625" customWidth="1"/>
    <col min="19" max="19" width="9.5703125" customWidth="1"/>
    <col min="20" max="20" width="9.85546875" customWidth="1"/>
    <col min="21" max="21" width="9.7109375" customWidth="1"/>
    <col min="22" max="22" width="17" customWidth="1"/>
    <col min="23" max="24" width="21.28515625" customWidth="1"/>
    <col min="25" max="26" width="19.7109375" customWidth="1"/>
    <col min="27" max="32" width="15.28515625" customWidth="1"/>
    <col min="33" max="33" width="12" customWidth="1"/>
    <col min="34" max="70" width="9.140625" customWidth="1"/>
  </cols>
  <sheetData>
    <row r="1" spans="2:45" ht="35.25" customHeight="1" thickBot="1" x14ac:dyDescent="0.3">
      <c r="B1" s="444" t="s">
        <v>38</v>
      </c>
      <c r="C1" s="445"/>
      <c r="D1" s="445"/>
      <c r="E1" s="445"/>
      <c r="F1" s="445"/>
      <c r="G1" s="445"/>
      <c r="H1" s="445"/>
      <c r="I1" s="445"/>
      <c r="J1" s="446"/>
    </row>
    <row r="2" spans="2:45" ht="18" customHeight="1" x14ac:dyDescent="0.25">
      <c r="B2" s="447" t="s">
        <v>39</v>
      </c>
      <c r="C2" s="448"/>
      <c r="D2" s="449"/>
      <c r="E2" s="456" t="s">
        <v>40</v>
      </c>
      <c r="F2" s="458" t="s">
        <v>41</v>
      </c>
      <c r="G2" s="459"/>
      <c r="H2" s="459"/>
      <c r="I2" s="459"/>
      <c r="J2" s="460"/>
    </row>
    <row r="3" spans="2:45" ht="30.75" customHeight="1" x14ac:dyDescent="0.25">
      <c r="B3" s="450"/>
      <c r="C3" s="451"/>
      <c r="D3" s="452"/>
      <c r="E3" s="457"/>
      <c r="F3" s="121" t="s">
        <v>254</v>
      </c>
      <c r="G3" s="121" t="s">
        <v>255</v>
      </c>
      <c r="H3" s="121" t="s">
        <v>256</v>
      </c>
      <c r="I3" s="121" t="s">
        <v>257</v>
      </c>
      <c r="J3" s="121" t="s">
        <v>258</v>
      </c>
    </row>
    <row r="4" spans="2:45" ht="15.75" x14ac:dyDescent="0.25">
      <c r="B4" s="453"/>
      <c r="C4" s="454"/>
      <c r="D4" s="455"/>
      <c r="E4" s="30" t="s">
        <v>42</v>
      </c>
      <c r="F4" s="461" t="s">
        <v>43</v>
      </c>
      <c r="G4" s="462"/>
      <c r="H4" s="462"/>
      <c r="I4" s="462"/>
      <c r="J4" s="463"/>
    </row>
    <row r="5" spans="2:45" ht="15.75" x14ac:dyDescent="0.25">
      <c r="B5" s="464" t="s">
        <v>44</v>
      </c>
      <c r="C5" s="465"/>
      <c r="D5" s="466"/>
      <c r="E5" s="31"/>
      <c r="F5" s="32">
        <v>3</v>
      </c>
      <c r="G5" s="33">
        <v>8</v>
      </c>
      <c r="H5" s="33">
        <v>15</v>
      </c>
      <c r="I5" s="33">
        <v>25</v>
      </c>
      <c r="J5" s="34">
        <v>38</v>
      </c>
    </row>
    <row r="6" spans="2:45" ht="15.75" customHeight="1" x14ac:dyDescent="0.25">
      <c r="B6" s="430" t="s">
        <v>45</v>
      </c>
      <c r="C6" s="431"/>
      <c r="D6" s="432"/>
      <c r="E6" s="31">
        <v>100</v>
      </c>
      <c r="F6" s="35">
        <v>1.56</v>
      </c>
      <c r="G6" s="36">
        <v>4.2988544985844781</v>
      </c>
      <c r="H6" s="36">
        <v>8.8246926292081138</v>
      </c>
      <c r="I6" s="37">
        <v>15.416103593320852</v>
      </c>
      <c r="J6" s="38">
        <v>24.317993338267048</v>
      </c>
    </row>
    <row r="7" spans="2:45" ht="16.5" thickBot="1" x14ac:dyDescent="0.3">
      <c r="B7" s="433"/>
      <c r="C7" s="434"/>
      <c r="D7" s="435"/>
      <c r="E7" s="39">
        <v>50</v>
      </c>
      <c r="F7" s="40">
        <v>1.233817055624119</v>
      </c>
      <c r="G7" s="41">
        <v>3.4</v>
      </c>
      <c r="H7" s="41">
        <v>6.8795232542034741</v>
      </c>
      <c r="I7" s="42">
        <v>12.092725349171499</v>
      </c>
      <c r="J7" s="43">
        <v>19.033304448274095</v>
      </c>
    </row>
    <row r="8" spans="2:45" ht="15.75" thickBot="1" x14ac:dyDescent="0.3"/>
    <row r="9" spans="2:45" ht="16.5" thickTop="1" thickBot="1" x14ac:dyDescent="0.3">
      <c r="M9" s="436" t="s">
        <v>29</v>
      </c>
      <c r="N9" s="437"/>
      <c r="O9" s="438"/>
      <c r="P9" s="438"/>
      <c r="Q9" s="438"/>
      <c r="R9" s="438"/>
      <c r="S9" s="438"/>
      <c r="T9" s="438"/>
      <c r="U9" s="439"/>
    </row>
    <row r="10" spans="2:45" ht="21.75" customHeight="1" x14ac:dyDescent="0.25">
      <c r="M10" s="440"/>
      <c r="N10" s="441"/>
      <c r="O10" s="442"/>
      <c r="P10" s="442"/>
      <c r="Q10" s="442"/>
      <c r="R10" s="442"/>
      <c r="S10" s="442"/>
      <c r="T10" s="442"/>
      <c r="U10" s="443"/>
      <c r="AC10" s="427" t="s">
        <v>291</v>
      </c>
      <c r="AD10" s="427"/>
      <c r="AE10" s="427"/>
      <c r="AF10" s="427"/>
      <c r="AG10" s="427"/>
      <c r="AH10" s="427"/>
      <c r="AI10" s="427"/>
      <c r="AJ10" s="427"/>
      <c r="AK10" s="298"/>
      <c r="AL10" s="428"/>
      <c r="AM10" s="428"/>
      <c r="AN10" s="428"/>
      <c r="AO10" s="428"/>
      <c r="AP10" s="428"/>
      <c r="AQ10" s="428"/>
      <c r="AR10" s="428"/>
      <c r="AS10" s="429"/>
    </row>
    <row r="11" spans="2:45" ht="47.25" x14ac:dyDescent="0.25">
      <c r="M11" s="7" t="s">
        <v>270</v>
      </c>
      <c r="N11" s="8" t="s">
        <v>30</v>
      </c>
      <c r="O11" s="9" t="s">
        <v>31</v>
      </c>
      <c r="P11" s="9" t="s">
        <v>32</v>
      </c>
      <c r="Q11" s="9" t="s">
        <v>33</v>
      </c>
      <c r="R11" s="10" t="s">
        <v>34</v>
      </c>
      <c r="S11" s="9" t="s">
        <v>35</v>
      </c>
      <c r="T11" s="10" t="s">
        <v>14</v>
      </c>
      <c r="U11" s="11" t="s">
        <v>15</v>
      </c>
      <c r="W11" s="287" t="s">
        <v>271</v>
      </c>
      <c r="X11" s="287" t="s">
        <v>281</v>
      </c>
      <c r="Y11" s="287" t="s">
        <v>272</v>
      </c>
      <c r="Z11" s="287" t="s">
        <v>275</v>
      </c>
      <c r="AA11" s="288" t="s">
        <v>276</v>
      </c>
      <c r="AB11" s="288">
        <v>0</v>
      </c>
      <c r="AC11" s="288">
        <v>8</v>
      </c>
      <c r="AD11" s="288">
        <v>12</v>
      </c>
      <c r="AE11" s="288">
        <v>15</v>
      </c>
      <c r="AF11" s="288">
        <v>18</v>
      </c>
      <c r="AG11" s="288">
        <v>24</v>
      </c>
      <c r="AH11" s="288">
        <v>27</v>
      </c>
      <c r="AI11" s="288">
        <v>30</v>
      </c>
      <c r="AJ11" s="288">
        <v>36</v>
      </c>
      <c r="AK11" s="299"/>
      <c r="AL11" s="288"/>
      <c r="AM11" s="288"/>
      <c r="AN11" s="288"/>
      <c r="AO11" s="288"/>
      <c r="AP11" s="288"/>
      <c r="AQ11" s="288"/>
      <c r="AR11" s="288"/>
      <c r="AS11" s="300"/>
    </row>
    <row r="12" spans="2:45" ht="15.75" thickBot="1" x14ac:dyDescent="0.3">
      <c r="M12" s="12" t="s">
        <v>36</v>
      </c>
      <c r="N12" s="13" t="s">
        <v>36</v>
      </c>
      <c r="O12" s="14" t="s">
        <v>306</v>
      </c>
      <c r="P12" s="14" t="s">
        <v>13</v>
      </c>
      <c r="Q12" s="14" t="s">
        <v>306</v>
      </c>
      <c r="R12" s="14" t="s">
        <v>13</v>
      </c>
      <c r="S12" s="14" t="s">
        <v>297</v>
      </c>
      <c r="T12" s="15" t="s">
        <v>37</v>
      </c>
      <c r="U12" s="16" t="s">
        <v>296</v>
      </c>
      <c r="V12" s="73" t="s">
        <v>268</v>
      </c>
      <c r="W12" s="287" t="s">
        <v>273</v>
      </c>
      <c r="X12" s="287" t="s">
        <v>273</v>
      </c>
      <c r="Y12" s="287" t="s">
        <v>274</v>
      </c>
      <c r="Z12" s="287" t="s">
        <v>273</v>
      </c>
      <c r="AA12" s="287" t="s">
        <v>273</v>
      </c>
      <c r="AB12" s="287" t="s">
        <v>273</v>
      </c>
      <c r="AC12" s="287" t="s">
        <v>273</v>
      </c>
      <c r="AD12" s="287" t="s">
        <v>273</v>
      </c>
      <c r="AE12" s="287" t="s">
        <v>273</v>
      </c>
      <c r="AF12" s="287" t="s">
        <v>273</v>
      </c>
      <c r="AG12" s="287" t="s">
        <v>273</v>
      </c>
      <c r="AH12" s="287" t="s">
        <v>273</v>
      </c>
      <c r="AI12" s="287" t="s">
        <v>273</v>
      </c>
      <c r="AJ12" s="287" t="s">
        <v>273</v>
      </c>
      <c r="AK12" s="301"/>
      <c r="AL12" s="287"/>
      <c r="AM12" s="287"/>
      <c r="AN12" s="287"/>
      <c r="AO12" s="287"/>
      <c r="AP12" s="287"/>
      <c r="AQ12" s="287"/>
      <c r="AR12" s="287"/>
      <c r="AS12" s="302"/>
    </row>
    <row r="13" spans="2:45" ht="16.5" thickTop="1" thickBot="1" x14ac:dyDescent="0.3">
      <c r="M13" s="26">
        <v>4</v>
      </c>
      <c r="N13" s="18">
        <v>3</v>
      </c>
      <c r="O13" s="49">
        <v>150</v>
      </c>
      <c r="P13" s="49">
        <v>24.317993338267048</v>
      </c>
      <c r="Q13" s="27">
        <v>1347</v>
      </c>
      <c r="R13" s="28">
        <v>36.769552621700477</v>
      </c>
      <c r="S13" s="20">
        <v>29.5</v>
      </c>
      <c r="T13" s="29">
        <v>50</v>
      </c>
      <c r="U13" s="296">
        <v>16.600000000000001</v>
      </c>
      <c r="V13" s="76">
        <v>57</v>
      </c>
      <c r="W13" s="6">
        <v>15</v>
      </c>
      <c r="X13" s="6">
        <v>12</v>
      </c>
      <c r="Y13" s="45">
        <v>4</v>
      </c>
      <c r="Z13" s="45">
        <f>M13*12</f>
        <v>48</v>
      </c>
      <c r="AA13">
        <f>HLOOKUP('2-Sizing'!K20,AC11:AJ17,3,0)</f>
        <v>0</v>
      </c>
      <c r="AC13" s="287"/>
      <c r="AD13" s="287"/>
      <c r="AE13" s="287"/>
      <c r="AF13" s="287"/>
      <c r="AG13" s="287"/>
      <c r="AH13" s="287"/>
      <c r="AI13" s="287"/>
      <c r="AJ13" s="287"/>
      <c r="AK13" s="301"/>
      <c r="AL13" s="287"/>
      <c r="AM13" s="287"/>
      <c r="AN13" s="287"/>
      <c r="AO13" s="287"/>
      <c r="AP13" s="287"/>
      <c r="AQ13" s="287"/>
      <c r="AR13" s="287"/>
      <c r="AS13" s="302"/>
    </row>
    <row r="14" spans="2:45" ht="15.75" thickTop="1" x14ac:dyDescent="0.25">
      <c r="M14" s="17">
        <v>7</v>
      </c>
      <c r="N14" s="18">
        <v>3</v>
      </c>
      <c r="O14" s="47">
        <f>F7</f>
        <v>1.233817055624119</v>
      </c>
      <c r="P14" s="47">
        <v>1.56</v>
      </c>
      <c r="Q14" s="20"/>
      <c r="R14" s="19">
        <v>2.3587679004578748</v>
      </c>
      <c r="S14" s="20">
        <v>29.5</v>
      </c>
      <c r="T14" s="21">
        <v>62</v>
      </c>
      <c r="U14" s="294">
        <v>22.2</v>
      </c>
      <c r="V14" s="76">
        <v>6</v>
      </c>
      <c r="W14" s="6">
        <v>36</v>
      </c>
      <c r="X14" s="6">
        <v>36</v>
      </c>
      <c r="Y14" s="45">
        <v>4</v>
      </c>
      <c r="Z14" s="45">
        <f>M14*12</f>
        <v>84</v>
      </c>
      <c r="AA14" s="44">
        <v>96</v>
      </c>
      <c r="AB14" s="44">
        <v>96</v>
      </c>
      <c r="AC14" s="44">
        <v>96</v>
      </c>
      <c r="AD14" s="44">
        <v>96</v>
      </c>
      <c r="AE14" s="44">
        <v>96</v>
      </c>
      <c r="AF14" s="44">
        <v>96</v>
      </c>
      <c r="AG14" s="44">
        <v>96</v>
      </c>
      <c r="AH14" s="44">
        <v>96</v>
      </c>
      <c r="AI14" s="44">
        <v>96</v>
      </c>
      <c r="AJ14" s="44">
        <v>103</v>
      </c>
      <c r="AK14" s="303"/>
      <c r="AL14" s="4"/>
      <c r="AM14" s="4"/>
      <c r="AN14" s="4"/>
      <c r="AO14" s="4"/>
      <c r="AP14" s="4"/>
      <c r="AQ14" s="4"/>
      <c r="AR14" s="4"/>
      <c r="AS14" s="304"/>
    </row>
    <row r="15" spans="2:45" x14ac:dyDescent="0.25">
      <c r="M15" s="22">
        <v>10.5</v>
      </c>
      <c r="N15" s="18">
        <v>2</v>
      </c>
      <c r="O15" s="48">
        <f>G7</f>
        <v>3.4</v>
      </c>
      <c r="P15" s="48">
        <v>4.2988544985844781</v>
      </c>
      <c r="Q15" s="5"/>
      <c r="R15" s="23">
        <v>6.5</v>
      </c>
      <c r="S15" s="20">
        <v>29.5</v>
      </c>
      <c r="T15" s="24">
        <v>209</v>
      </c>
      <c r="U15" s="295">
        <v>55.9</v>
      </c>
      <c r="V15" s="76">
        <v>7</v>
      </c>
      <c r="W15" s="44">
        <v>36</v>
      </c>
      <c r="X15" s="44">
        <v>36</v>
      </c>
      <c r="Y15" s="45">
        <v>4</v>
      </c>
      <c r="Z15" s="45">
        <f>M15*12</f>
        <v>126</v>
      </c>
      <c r="AA15" s="44">
        <v>78</v>
      </c>
      <c r="AB15" s="44">
        <v>86</v>
      </c>
      <c r="AC15" s="44">
        <v>86</v>
      </c>
      <c r="AD15" s="44">
        <v>86</v>
      </c>
      <c r="AE15" s="44">
        <v>86</v>
      </c>
      <c r="AF15" s="44">
        <v>86</v>
      </c>
      <c r="AG15" s="44">
        <v>86</v>
      </c>
      <c r="AH15" s="44">
        <v>92</v>
      </c>
      <c r="AI15" s="44">
        <v>94</v>
      </c>
      <c r="AJ15" s="44">
        <v>102</v>
      </c>
      <c r="AK15" s="305"/>
      <c r="AL15" s="44"/>
      <c r="AM15" s="44"/>
      <c r="AN15" s="44"/>
      <c r="AO15" s="44"/>
      <c r="AP15" s="44"/>
      <c r="AQ15" s="44"/>
      <c r="AR15" s="44"/>
      <c r="AS15" s="306"/>
    </row>
    <row r="16" spans="2:45" x14ac:dyDescent="0.25">
      <c r="M16" s="22">
        <v>11</v>
      </c>
      <c r="N16" s="18">
        <v>2</v>
      </c>
      <c r="O16" s="48">
        <f>H7</f>
        <v>6.8795232542034741</v>
      </c>
      <c r="P16" s="48">
        <v>8.8246926292081138</v>
      </c>
      <c r="Q16" s="5"/>
      <c r="R16" s="23">
        <v>13.343206221271346</v>
      </c>
      <c r="S16" s="20">
        <v>29.5</v>
      </c>
      <c r="T16" s="24">
        <v>304</v>
      </c>
      <c r="U16" s="295">
        <v>108.2</v>
      </c>
      <c r="V16" s="76">
        <v>19</v>
      </c>
      <c r="W16" s="44">
        <v>36</v>
      </c>
      <c r="X16" s="44">
        <v>36</v>
      </c>
      <c r="Y16" s="45">
        <v>4</v>
      </c>
      <c r="Z16" s="45">
        <f>M16*12</f>
        <v>132</v>
      </c>
      <c r="AA16" s="44">
        <v>156</v>
      </c>
      <c r="AB16" s="44">
        <v>164</v>
      </c>
      <c r="AC16" s="44">
        <v>164</v>
      </c>
      <c r="AD16" s="44">
        <v>164</v>
      </c>
      <c r="AE16" s="44">
        <v>164</v>
      </c>
      <c r="AF16" s="44">
        <v>164</v>
      </c>
      <c r="AG16" s="44">
        <v>164</v>
      </c>
      <c r="AH16" s="44">
        <v>170</v>
      </c>
      <c r="AI16" s="44">
        <v>172</v>
      </c>
      <c r="AJ16" s="44">
        <v>180</v>
      </c>
      <c r="AK16" s="305"/>
      <c r="AL16" s="44"/>
      <c r="AM16" s="44"/>
      <c r="AN16" s="44"/>
      <c r="AO16" s="44"/>
      <c r="AP16" s="44"/>
      <c r="AQ16" s="44"/>
      <c r="AR16" s="44"/>
      <c r="AS16" s="306"/>
    </row>
    <row r="17" spans="13:45" x14ac:dyDescent="0.25">
      <c r="M17" s="22">
        <v>15</v>
      </c>
      <c r="N17" s="18">
        <v>2</v>
      </c>
      <c r="O17" s="48">
        <f>I7</f>
        <v>12.092725349171499</v>
      </c>
      <c r="P17" s="48">
        <v>15.416103593320852</v>
      </c>
      <c r="Q17" s="5"/>
      <c r="R17" s="23">
        <v>23.309621991063157</v>
      </c>
      <c r="S17" s="20">
        <v>29.5</v>
      </c>
      <c r="T17" s="25">
        <v>456</v>
      </c>
      <c r="U17" s="295">
        <v>162.30000000000001</v>
      </c>
      <c r="V17" s="76">
        <v>38</v>
      </c>
      <c r="W17" s="6">
        <v>36</v>
      </c>
      <c r="X17" s="6">
        <v>36</v>
      </c>
      <c r="Y17" s="45">
        <v>4</v>
      </c>
      <c r="Z17" s="45">
        <f>M17*12</f>
        <v>180</v>
      </c>
      <c r="AA17" s="44">
        <v>156</v>
      </c>
      <c r="AB17" s="44">
        <v>164</v>
      </c>
      <c r="AC17" s="44">
        <v>164</v>
      </c>
      <c r="AD17" s="44">
        <v>164</v>
      </c>
      <c r="AE17" s="44">
        <v>164</v>
      </c>
      <c r="AF17" s="44">
        <v>164</v>
      </c>
      <c r="AG17" s="44">
        <v>164</v>
      </c>
      <c r="AH17" s="44">
        <v>170</v>
      </c>
      <c r="AI17" s="44">
        <v>172</v>
      </c>
      <c r="AJ17" s="44">
        <v>180</v>
      </c>
      <c r="AK17" s="305"/>
      <c r="AL17" s="44"/>
      <c r="AM17" s="44"/>
      <c r="AN17" s="44"/>
      <c r="AO17" s="44"/>
      <c r="AP17" s="44"/>
      <c r="AQ17" s="44"/>
      <c r="AR17" s="44"/>
      <c r="AS17" s="306"/>
    </row>
    <row r="18" spans="13:45" ht="15.75" thickBot="1" x14ac:dyDescent="0.3">
      <c r="AA18" s="44"/>
      <c r="AB18" s="44"/>
      <c r="AC18" s="44"/>
      <c r="AD18" s="44"/>
      <c r="AE18" s="44"/>
      <c r="AF18" s="44"/>
      <c r="AK18" s="307"/>
      <c r="AL18" s="308"/>
      <c r="AM18" s="308"/>
      <c r="AN18" s="308"/>
      <c r="AO18" s="308"/>
      <c r="AP18" s="308"/>
      <c r="AQ18" s="308"/>
      <c r="AR18" s="308"/>
      <c r="AS18" s="309"/>
    </row>
    <row r="19" spans="13:45" x14ac:dyDescent="0.25">
      <c r="AK19" s="297"/>
    </row>
  </sheetData>
  <mergeCells count="10">
    <mergeCell ref="AC10:AJ10"/>
    <mergeCell ref="AL10:AS10"/>
    <mergeCell ref="B6:D7"/>
    <mergeCell ref="M9:U10"/>
    <mergeCell ref="B1:J1"/>
    <mergeCell ref="B2:D4"/>
    <mergeCell ref="E2:E3"/>
    <mergeCell ref="F2:J2"/>
    <mergeCell ref="F4:J4"/>
    <mergeCell ref="B5:D5"/>
  </mergeCells>
  <printOptions horizontalCentered="1" verticalCentered="1"/>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1-START HERE-Instructions</vt:lpstr>
      <vt:lpstr>2-Sizing</vt:lpstr>
      <vt:lpstr>3a-DWG 1-6 Modules (Online)</vt:lpstr>
      <vt:lpstr>3b-DWG 1-7 Modules (Offline)</vt:lpstr>
      <vt:lpstr>3c-DWG 8-19 Mods(On or Offline)</vt:lpstr>
      <vt:lpstr>3d-DWG 20-38Mods(On or Offline)</vt:lpstr>
      <vt:lpstr>3e-DWG 39-57Mods(On or Offline)</vt:lpstr>
      <vt:lpstr>Specification Text</vt:lpstr>
      <vt:lpstr>Performance</vt:lpstr>
      <vt:lpstr>Flow Rate Charts</vt:lpstr>
      <vt:lpstr>4-Get Specification</vt:lpstr>
      <vt:lpstr>5-Submit For Free Design Review</vt:lpstr>
      <vt:lpstr>6-Tell Us What You Think</vt:lpstr>
      <vt:lpstr>'1-START HERE-Instructions'!Print_Area</vt:lpstr>
      <vt:lpstr>'2-Sizing'!Print_Area</vt:lpstr>
      <vt:lpstr>'3a-DWG 1-6 Modules (Online)'!Print_Area</vt:lpstr>
      <vt:lpstr>'3b-DWG 1-7 Modules (Offline)'!Print_Area</vt:lpstr>
      <vt:lpstr>'3c-DWG 8-19 Mods(On or Offline)'!Print_Area</vt:lpstr>
      <vt:lpstr>'3d-DWG 20-38Mods(On or Offline)'!Print_Area</vt:lpstr>
      <vt:lpstr>'3e-DWG 39-57Mods(On or Offline)'!Print_Area</vt:lpstr>
      <vt:lpstr>'4-Get Specification'!Print_Area</vt:lpstr>
      <vt:lpstr>'5-Submit For Free Design Review'!Print_Area</vt:lpstr>
      <vt:lpstr>'6-Tell Us What You Think'!Print_Area</vt:lpstr>
      <vt:lpstr>Performance!Print_Area</vt:lpstr>
    </vt:vector>
  </TitlesOfParts>
  <Company>Hydro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Lemont</dc:creator>
  <cp:lastModifiedBy>Bridget Domareki</cp:lastModifiedBy>
  <cp:lastPrinted>2015-04-02T01:23:13Z</cp:lastPrinted>
  <dcterms:created xsi:type="dcterms:W3CDTF">2011-12-07T18:15:58Z</dcterms:created>
  <dcterms:modified xsi:type="dcterms:W3CDTF">2019-09-18T20:35:53Z</dcterms:modified>
</cp:coreProperties>
</file>