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M:\Sizing Tool\"/>
    </mc:Choice>
  </mc:AlternateContent>
  <xr:revisionPtr revIDLastSave="0" documentId="8_{E169862F-2244-4734-BD15-14DC2E50A970}" xr6:coauthVersionLast="46" xr6:coauthVersionMax="46" xr10:uidLastSave="{00000000-0000-0000-0000-000000000000}"/>
  <bookViews>
    <workbookView xWindow="-110" yWindow="-110" windowWidth="19420" windowHeight="10420" xr2:uid="{00000000-000D-0000-FFFF-FFFF00000000}"/>
  </bookViews>
  <sheets>
    <sheet name="Loading Calcs" sheetId="1" r:id="rId1"/>
    <sheet name="rainfall" sheetId="2" r:id="rId2"/>
    <sheet name="UpFloFilter" sheetId="3" r:id="rId3"/>
  </sheets>
  <definedNames>
    <definedName name="BMP">UpFloFilter!$A$1:$A$16</definedName>
    <definedName name="Location">rainfall!$A$2:$A$9</definedName>
    <definedName name="_xlnm.Print_Area" localSheetId="0">'Loading Calcs'!$A$1:$E$115</definedName>
    <definedName name="Stormceptor">UpFloFilter!$D$28:$D$40</definedName>
    <definedName name="Vortech">UpFloFilter!$I$28:$I$38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3" i="1" l="1"/>
  <c r="C5" i="3" l="1"/>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4" i="3"/>
  <c r="D56" i="1" l="1"/>
  <c r="D70" i="1" l="1"/>
  <c r="D23" i="1" l="1"/>
  <c r="D77" i="1"/>
  <c r="D78" i="1" s="1"/>
  <c r="D36" i="1"/>
  <c r="D22" i="1"/>
  <c r="D25" i="1" l="1"/>
  <c r="D57" i="1"/>
  <c r="D86" i="1" s="1"/>
  <c r="D37" i="1"/>
  <c r="D92" i="1" l="1"/>
  <c r="D117" i="1" s="1"/>
  <c r="D87" i="1"/>
  <c r="D94" i="1" l="1"/>
  <c r="D97" i="1" s="1"/>
  <c r="D93" i="1"/>
  <c r="D69" i="1"/>
  <c r="D71" i="1" s="1"/>
  <c r="D98" i="1" l="1"/>
  <c r="D99" i="1" s="1"/>
  <c r="D112" i="1"/>
  <c r="D114" i="1" s="1"/>
  <c r="D79" i="1"/>
  <c r="D100" i="1" s="1"/>
  <c r="D113" i="1" l="1"/>
  <c r="D115" i="1" s="1"/>
  <c r="D118" i="1" s="1"/>
  <c r="D102" i="1"/>
  <c r="D103" i="1" s="1"/>
  <c r="D81" i="1"/>
  <c r="D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james bice</author>
    <author>Phillip Taylor</author>
  </authors>
  <commentList>
    <comment ref="D18" authorId="0" shapeId="0" xr:uid="{00000000-0006-0000-0000-000002000000}">
      <text>
        <r>
          <rPr>
            <b/>
            <sz val="8"/>
            <color indexed="14"/>
            <rFont val="Tahoma"/>
            <family val="2"/>
          </rPr>
          <t>Select this cell and then click on the grey box to the right of the cell to make selection from the drop down menu.</t>
        </r>
      </text>
    </comment>
    <comment ref="D25" authorId="0" shapeId="0" xr:uid="{00000000-0006-0000-0000-000003000000}">
      <text>
        <r>
          <rPr>
            <b/>
            <sz val="8"/>
            <color indexed="14"/>
            <rFont val="Tahoma"/>
            <family val="2"/>
          </rPr>
          <t>This is the required TSS load that must be removed prior to the stormwater runoff being released from this site (80 percent of increased TSS load resulting from the development of the site).
If the drainage from the total project is directed to one BMP, enter the proposed BMP type in Cell D42 and the load calculated in cell D25 into cell D61
.  Then go to Section 6 to proceed with the sizing of the proposed BMP.
If more than one drainage basin or outfalls are proposed within the project, calculations for each drainage basin/outfall should be prepared.  The calculations must include Sections 2 through 6 and the Section for the appropriate BMP proposed.
A summation of the load removal calculations should include justifications indicating that the project meets the requirements of the Edwards Aquifer Rules.
The permanent BMP calculations and summary must be signed, sealed, and dated by the P.E. and submitted with the Edwards Aquifer Protection Plan Application.</t>
        </r>
        <r>
          <rPr>
            <sz val="8"/>
            <color indexed="81"/>
            <rFont val="Tahoma"/>
          </rPr>
          <t xml:space="preserve">
</t>
        </r>
      </text>
    </comment>
    <comment ref="D27" authorId="0" shapeId="0" xr:uid="{00000000-0006-0000-0000-000004000000}">
      <text>
        <r>
          <rPr>
            <b/>
            <sz val="8"/>
            <color indexed="14"/>
            <rFont val="Tahoma"/>
            <family val="2"/>
          </rPr>
          <t>Enter the total number of drainage basins or outfalls from the site.</t>
        </r>
      </text>
    </comment>
    <comment ref="D31" authorId="0" shapeId="0" xr:uid="{00000000-0006-0000-0000-000005000000}">
      <text>
        <r>
          <rPr>
            <b/>
            <sz val="8"/>
            <color indexed="14"/>
            <rFont val="Tahoma"/>
            <family val="2"/>
          </rPr>
          <t>Enter the designation for this drainage basin or BMP.  Calculations must be provided for each Drainage Basin or outfall from the site.</t>
        </r>
      </text>
    </comment>
    <comment ref="D37" authorId="0" shapeId="0" xr:uid="{00000000-0006-0000-0000-000006000000}">
      <text>
        <r>
          <rPr>
            <b/>
            <sz val="8"/>
            <color indexed="14"/>
            <rFont val="Tahoma"/>
            <family val="2"/>
          </rPr>
          <t>The pounds of TSS calculated is the required TSS load removal from this basin only.  If the entire site load is greater than this basin, additional BMPs will be required for each basin.</t>
        </r>
        <r>
          <rPr>
            <sz val="8"/>
            <color indexed="81"/>
            <rFont val="Tahoma"/>
          </rPr>
          <t xml:space="preserve">
</t>
        </r>
      </text>
    </comment>
    <comment ref="D57" authorId="0" shapeId="0" xr:uid="{00000000-0006-0000-0000-000008000000}">
      <text>
        <r>
          <rPr>
            <b/>
            <sz val="8"/>
            <color indexed="14"/>
            <rFont val="Tahoma"/>
            <family val="2"/>
          </rPr>
          <t>L</t>
        </r>
        <r>
          <rPr>
            <b/>
            <vertAlign val="subscript"/>
            <sz val="10"/>
            <color indexed="14"/>
            <rFont val="Tahoma"/>
            <family val="2"/>
          </rPr>
          <t>R</t>
        </r>
        <r>
          <rPr>
            <b/>
            <sz val="8"/>
            <color indexed="14"/>
            <rFont val="Tahoma"/>
            <family val="2"/>
          </rPr>
          <t xml:space="preserve"> is the maximum load available for removal from the defined drainage basin configuration (Drainage basin area &amp; proposed impervious cover in drainage basin). L</t>
        </r>
        <r>
          <rPr>
            <b/>
            <vertAlign val="subscript"/>
            <sz val="10"/>
            <color indexed="14"/>
            <rFont val="Tahoma"/>
            <family val="2"/>
          </rPr>
          <t>R</t>
        </r>
        <r>
          <rPr>
            <b/>
            <sz val="8"/>
            <color indexed="14"/>
            <rFont val="Tahoma"/>
            <family val="2"/>
          </rPr>
          <t xml:space="preserve"> is not what is removed by your BMP unless L</t>
        </r>
        <r>
          <rPr>
            <b/>
            <vertAlign val="subscript"/>
            <sz val="10"/>
            <color indexed="14"/>
            <rFont val="Tahoma"/>
            <family val="2"/>
          </rPr>
          <t>M</t>
        </r>
        <r>
          <rPr>
            <b/>
            <sz val="8"/>
            <color indexed="14"/>
            <rFont val="Tahoma"/>
            <family val="2"/>
          </rPr>
          <t xml:space="preserve"> = L</t>
        </r>
        <r>
          <rPr>
            <b/>
            <vertAlign val="subscript"/>
            <sz val="10"/>
            <color indexed="14"/>
            <rFont val="Tahoma"/>
            <family val="2"/>
          </rPr>
          <t>R.</t>
        </r>
        <r>
          <rPr>
            <sz val="8"/>
            <color indexed="81"/>
            <rFont val="Tahoma"/>
          </rPr>
          <t xml:space="preserve">
</t>
        </r>
      </text>
    </comment>
    <comment ref="D59" authorId="0" shapeId="0" xr:uid="{00000000-0006-0000-0000-000009000000}">
      <text>
        <r>
          <rPr>
            <b/>
            <sz val="8"/>
            <color indexed="14"/>
            <rFont val="Tahoma"/>
            <family val="2"/>
          </rPr>
          <t>Possible Project Configuration #1: There is only one drainage basin/outfall area and one BMP will receive the runoff from the whole project.  Enter the Load calculated in cell D25 or D37 (L</t>
        </r>
        <r>
          <rPr>
            <b/>
            <vertAlign val="subscript"/>
            <sz val="10"/>
            <color indexed="14"/>
            <rFont val="Tahoma"/>
            <family val="2"/>
          </rPr>
          <t>M REMOVAL REQUIRED FROM THIS BASIN</t>
        </r>
        <r>
          <rPr>
            <b/>
            <sz val="8"/>
            <color indexed="14"/>
            <rFont val="Tahoma"/>
            <family val="2"/>
          </rPr>
          <t>) into cell D61 (L</t>
        </r>
        <r>
          <rPr>
            <b/>
            <vertAlign val="subscript"/>
            <sz val="10"/>
            <color indexed="14"/>
            <rFont val="Tahoma"/>
            <family val="2"/>
          </rPr>
          <t>M TO BE REMOVED BY THIS BASIN</t>
        </r>
        <r>
          <rPr>
            <b/>
            <sz val="8"/>
            <color indexed="14"/>
            <rFont val="Tahoma"/>
            <family val="2"/>
          </rPr>
          <t>) and proceed with the sizing of the BMP.
Possible Project Configuration #2: There is more than one drainage basin/outfall area and a BMP is proposed for each basin.  Enter the Load calculated in cell D37 (L</t>
        </r>
        <r>
          <rPr>
            <b/>
            <vertAlign val="subscript"/>
            <sz val="10"/>
            <color indexed="14"/>
            <rFont val="Tahoma"/>
            <family val="2"/>
          </rPr>
          <t>M REMOVAL REQUIRED FROM THIS BASIN</t>
        </r>
        <r>
          <rPr>
            <b/>
            <sz val="8"/>
            <color indexed="14"/>
            <rFont val="Tahoma"/>
            <family val="2"/>
          </rPr>
          <t>) into cell D61 (L</t>
        </r>
        <r>
          <rPr>
            <b/>
            <vertAlign val="subscript"/>
            <sz val="10"/>
            <color indexed="14"/>
            <rFont val="Tahoma"/>
            <family val="2"/>
          </rPr>
          <t>M TO BE REMOVED BY THIS BASIN</t>
        </r>
        <r>
          <rPr>
            <b/>
            <sz val="8"/>
            <color indexed="14"/>
            <rFont val="Tahoma"/>
            <family val="2"/>
          </rPr>
          <t>) and proceed with the sizing of the BMP for each basin.
Possible Project Configuration #3: There is more than one drainage basin/outfall area and a BMP is not proposed for each basin.  Enter the Load calculated in cell D25 (L</t>
        </r>
        <r>
          <rPr>
            <b/>
            <vertAlign val="subscript"/>
            <sz val="10"/>
            <color indexed="14"/>
            <rFont val="Tahoma"/>
            <family val="2"/>
          </rPr>
          <t>M REMOVAL REQUIRED FROM TOTAL SITE</t>
        </r>
        <r>
          <rPr>
            <b/>
            <sz val="8"/>
            <color indexed="14"/>
            <rFont val="Tahoma"/>
            <family val="2"/>
          </rPr>
          <t>) or some desired load into cell D61 (L</t>
        </r>
        <r>
          <rPr>
            <b/>
            <vertAlign val="subscript"/>
            <sz val="10"/>
            <color indexed="14"/>
            <rFont val="Tahoma"/>
            <family val="2"/>
          </rPr>
          <t>M TO BE REMOVED BY THIS BASIN</t>
        </r>
        <r>
          <rPr>
            <b/>
            <sz val="8"/>
            <color indexed="14"/>
            <rFont val="Tahoma"/>
            <family val="2"/>
          </rPr>
          <t>) and proceed with the sizing of the BMP for the basin.</t>
        </r>
        <r>
          <rPr>
            <sz val="8"/>
            <color indexed="81"/>
            <rFont val="Tahoma"/>
          </rPr>
          <t xml:space="preserve">
</t>
        </r>
      </text>
    </comment>
    <comment ref="D61" authorId="0" shapeId="0" xr:uid="{00000000-0006-0000-0000-00000A000000}">
      <text>
        <r>
          <rPr>
            <sz val="8"/>
            <color indexed="81"/>
            <rFont val="Tahoma"/>
          </rPr>
          <t xml:space="preserve">The BMP may be sized to remove the desired load from this drainage basin and/or other drainage basins by entering the desired TSS load into cell D61.
</t>
        </r>
      </text>
    </comment>
    <comment ref="D63" authorId="0" shapeId="0" xr:uid="{00000000-0006-0000-0000-00000B000000}">
      <text>
        <r>
          <rPr>
            <sz val="8"/>
            <color indexed="81"/>
            <rFont val="Tahoma"/>
          </rPr>
          <t>There is no minimum value for the fraction "F." The fraction "F" cannot be greater than 1.  If a value for "F" in cell D63 is greater than 1 is calculated, iincrease the number of Filter Modules in Section 7a, Cell D91, until the fraction treated in Cell D97 is below 1.
Alternatively a different type of BMP must be selected or the desired load removal in cell D61 must be reduced until F is equal to or less than 1.</t>
        </r>
      </text>
    </comment>
    <comment ref="D70" authorId="0" shapeId="0" xr:uid="{00000000-0006-0000-0000-00000C000000}">
      <text>
        <r>
          <rPr>
            <b/>
            <sz val="8"/>
            <color indexed="14"/>
            <rFont val="Tahoma"/>
            <family val="2"/>
          </rPr>
          <t xml:space="preserve">The impervious cover value used in the calculations for the Runoff Coefficient = IC in Drainage Area to the BMP / Drainage Area to the BMP. </t>
        </r>
      </text>
    </comment>
    <comment ref="D75" authorId="1" shapeId="0" xr:uid="{FE3F5F75-BDD8-46C1-A956-07250A979D02}">
      <text>
        <r>
          <rPr>
            <sz val="9"/>
            <color indexed="81"/>
            <rFont val="Tahoma"/>
            <charset val="1"/>
          </rPr>
          <t xml:space="preserve">When possible, the off-site drainage should be conveyed around or through the drainage basin/outfall area without entering the BMP. 
If no off-site drainage flows across the drainage basin/outfall area or is bypassed through the site, enter 0 in cells D75 &amp; D76.
If the off-site drainage is directed to the drainage basin, and the off-site area is not developed, enter the off-site area draining to the BMP into cell D75 and enter the off-site impervious cover into cell D76 under the assumption that the off-site impervious cover will be the same as the tract submitting the application.
If the off-site drainage is directed to the drainage basin, and the off-site area is developed, enter the off-site area draining to BMP &amp; off-site impervious cover draining to BMP in cells D76 &amp; D77.
</t>
        </r>
      </text>
    </comment>
    <comment ref="D78" authorId="0" shapeId="0" xr:uid="{00000000-0006-0000-0000-00000E000000}">
      <text>
        <r>
          <rPr>
            <b/>
            <sz val="8"/>
            <color indexed="14"/>
            <rFont val="Tahoma"/>
            <family val="2"/>
          </rPr>
          <t>The impervious cover value used in the calculations for the Runoff Coefficient = IC in Off-site Drainage Area to the BMP / Off-site Drainage Area to the BMP.</t>
        </r>
      </text>
    </comment>
    <comment ref="D97" authorId="1" shapeId="0" xr:uid="{1C9B2A7A-BC32-4DD9-AF41-746FE437F500}">
      <text>
        <r>
          <rPr>
            <sz val="9"/>
            <color indexed="81"/>
            <rFont val="Tahoma"/>
            <family val="2"/>
          </rPr>
          <t xml:space="preserve">Must be equal to or less than 1.
</t>
        </r>
      </text>
    </comment>
  </commentList>
</comments>
</file>

<file path=xl/sharedStrings.xml><?xml version="1.0" encoding="utf-8"?>
<sst xmlns="http://schemas.openxmlformats.org/spreadsheetml/2006/main" count="316" uniqueCount="164">
  <si>
    <t>Project Name:</t>
  </si>
  <si>
    <t>Date Prepared:</t>
  </si>
  <si>
    <r>
      <t>L</t>
    </r>
    <r>
      <rPr>
        <vertAlign val="subscript"/>
        <sz val="10"/>
        <rFont val="Arial"/>
        <family val="2"/>
      </rPr>
      <t>M TOTAL PROJECT</t>
    </r>
    <r>
      <rPr>
        <sz val="10"/>
        <rFont val="Arial"/>
      </rPr>
      <t xml:space="preserve"> =</t>
    </r>
  </si>
  <si>
    <t>Required TSS removal resulting from the proposed development = 80% of increased load</t>
  </si>
  <si>
    <r>
      <t>A</t>
    </r>
    <r>
      <rPr>
        <vertAlign val="subscript"/>
        <sz val="10"/>
        <rFont val="Arial"/>
        <family val="2"/>
      </rPr>
      <t>N</t>
    </r>
    <r>
      <rPr>
        <sz val="10"/>
        <rFont val="Arial"/>
      </rPr>
      <t xml:space="preserve"> =</t>
    </r>
  </si>
  <si>
    <t>Net increase in impervious area for the project</t>
  </si>
  <si>
    <t>P =</t>
  </si>
  <si>
    <t xml:space="preserve">Average annual precipitation, inches </t>
  </si>
  <si>
    <t>Site Data:</t>
  </si>
  <si>
    <t>Determine Required Load Removal Based on the Entire Project</t>
  </si>
  <si>
    <t>County =</t>
  </si>
  <si>
    <t>acres</t>
  </si>
  <si>
    <t>inches</t>
  </si>
  <si>
    <t>Number of drainage basins / outfalls areas leaving the plan area =</t>
  </si>
  <si>
    <t>Drainage Basin/Outfall Area No. =</t>
  </si>
  <si>
    <r>
      <t xml:space="preserve">Total drainage basin/outfall area </t>
    </r>
    <r>
      <rPr>
        <sz val="10"/>
        <rFont val="Arial"/>
      </rPr>
      <t>=</t>
    </r>
  </si>
  <si>
    <r>
      <t>Predevelopment impervious area within drainage basin/outfall area</t>
    </r>
    <r>
      <rPr>
        <sz val="10"/>
        <rFont val="Arial"/>
      </rPr>
      <t xml:space="preserve"> =</t>
    </r>
  </si>
  <si>
    <r>
      <t>Post-development impervious area within drainage basin/outfall area</t>
    </r>
    <r>
      <rPr>
        <sz val="10"/>
        <rFont val="Arial"/>
      </rPr>
      <t xml:space="preserve"> =</t>
    </r>
  </si>
  <si>
    <r>
      <t>Post-development impervious fraction within drainage basin/outfall area</t>
    </r>
    <r>
      <rPr>
        <sz val="10"/>
        <rFont val="Arial"/>
      </rPr>
      <t xml:space="preserve"> =</t>
    </r>
  </si>
  <si>
    <r>
      <t>L</t>
    </r>
    <r>
      <rPr>
        <vertAlign val="subscript"/>
        <sz val="10"/>
        <rFont val="Arial"/>
        <family val="2"/>
      </rPr>
      <t>M THIS BASIN</t>
    </r>
    <r>
      <rPr>
        <sz val="10"/>
        <rFont val="Arial"/>
      </rPr>
      <t xml:space="preserve"> =</t>
    </r>
  </si>
  <si>
    <t>Proposed BMP =</t>
  </si>
  <si>
    <t>Removal efficiency =</t>
  </si>
  <si>
    <t>percent</t>
  </si>
  <si>
    <r>
      <t>A</t>
    </r>
    <r>
      <rPr>
        <vertAlign val="subscript"/>
        <sz val="10"/>
        <rFont val="Arial"/>
        <family val="2"/>
      </rPr>
      <t>C</t>
    </r>
    <r>
      <rPr>
        <sz val="10"/>
        <rFont val="Arial"/>
      </rPr>
      <t xml:space="preserve"> =</t>
    </r>
  </si>
  <si>
    <t>Total On-Site drainage area in the BMP catchment area</t>
  </si>
  <si>
    <r>
      <t>A</t>
    </r>
    <r>
      <rPr>
        <vertAlign val="subscript"/>
        <sz val="10"/>
        <rFont val="Arial"/>
        <family val="2"/>
      </rPr>
      <t>I</t>
    </r>
    <r>
      <rPr>
        <sz val="10"/>
        <rFont val="Arial"/>
        <family val="2"/>
      </rPr>
      <t xml:space="preserve"> =</t>
    </r>
  </si>
  <si>
    <t>Impervious area proposed in the BMP catchment area</t>
  </si>
  <si>
    <r>
      <t>A</t>
    </r>
    <r>
      <rPr>
        <vertAlign val="subscript"/>
        <sz val="10"/>
        <rFont val="Arial"/>
        <family val="2"/>
      </rPr>
      <t>P</t>
    </r>
    <r>
      <rPr>
        <sz val="10"/>
        <rFont val="Arial"/>
        <family val="2"/>
      </rPr>
      <t xml:space="preserve"> =</t>
    </r>
  </si>
  <si>
    <t>Pervious area remaining in the BMP catchment area</t>
  </si>
  <si>
    <r>
      <t>L</t>
    </r>
    <r>
      <rPr>
        <vertAlign val="subscript"/>
        <sz val="10"/>
        <rFont val="Arial"/>
        <family val="2"/>
      </rPr>
      <t>R</t>
    </r>
    <r>
      <rPr>
        <sz val="10"/>
        <rFont val="Arial"/>
        <family val="2"/>
      </rPr>
      <t xml:space="preserve"> =</t>
    </r>
  </si>
  <si>
    <t>TSS Load removed from this catchment area by the proposed BMP</t>
  </si>
  <si>
    <t>F =</t>
  </si>
  <si>
    <t>Rainfall Depth =</t>
  </si>
  <si>
    <t>On-site Water Quality Volume =</t>
  </si>
  <si>
    <t>cubic feet</t>
  </si>
  <si>
    <t>Off-site area draining to BMP =</t>
  </si>
  <si>
    <t>Off-site Impervious cover draining to BMP =</t>
  </si>
  <si>
    <t>Impervious fraction of off-site area =</t>
  </si>
  <si>
    <t>Off-site Runoff Coefficient =</t>
  </si>
  <si>
    <t>Off-site Water Quality Volume =</t>
  </si>
  <si>
    <t>Storage for Sediment =</t>
  </si>
  <si>
    <t>Location</t>
  </si>
  <si>
    <t>Rainfall</t>
  </si>
  <si>
    <t>Bexar</t>
  </si>
  <si>
    <t>Comal</t>
  </si>
  <si>
    <t>Hays</t>
  </si>
  <si>
    <t>Kinney</t>
  </si>
  <si>
    <t>Medina</t>
  </si>
  <si>
    <t>Travis</t>
  </si>
  <si>
    <t>Uvalde</t>
  </si>
  <si>
    <t>Williamson</t>
  </si>
  <si>
    <t>Fraction of Annual Runoff</t>
  </si>
  <si>
    <t>Rainfall Depth</t>
  </si>
  <si>
    <r>
      <t>Desired L</t>
    </r>
    <r>
      <rPr>
        <vertAlign val="subscript"/>
        <sz val="10"/>
        <rFont val="Arial"/>
        <family val="2"/>
      </rPr>
      <t>M THIS BASIN</t>
    </r>
    <r>
      <rPr>
        <sz val="10"/>
        <rFont val="Arial"/>
      </rPr>
      <t xml:space="preserve"> =</t>
    </r>
  </si>
  <si>
    <t>Rainfall Intensity</t>
  </si>
  <si>
    <t>Calculations from RG-348, Pages 3-27 to 3-30</t>
  </si>
  <si>
    <t>Predevelopment impervious area within the limits of the plan =</t>
  </si>
  <si>
    <t>Total post-development impervious cover fraction =</t>
  </si>
  <si>
    <t>Where:</t>
  </si>
  <si>
    <t xml:space="preserve">Page 3-29 Equation 3.3:  </t>
  </si>
  <si>
    <r>
      <t>L</t>
    </r>
    <r>
      <rPr>
        <vertAlign val="subscript"/>
        <sz val="10"/>
        <rFont val="Arial"/>
        <family val="2"/>
      </rPr>
      <t>M</t>
    </r>
    <r>
      <rPr>
        <sz val="10"/>
        <rFont val="Arial"/>
      </rPr>
      <t xml:space="preserve"> = 27.2(A</t>
    </r>
    <r>
      <rPr>
        <vertAlign val="subscript"/>
        <sz val="10"/>
        <rFont val="Arial"/>
        <family val="2"/>
      </rPr>
      <t>N</t>
    </r>
    <r>
      <rPr>
        <sz val="10"/>
        <rFont val="Arial"/>
      </rPr>
      <t xml:space="preserve"> x P)</t>
    </r>
  </si>
  <si>
    <t xml:space="preserve">RG-348 Page 3-33 Equation 3.7:  </t>
  </si>
  <si>
    <r>
      <t>L</t>
    </r>
    <r>
      <rPr>
        <vertAlign val="subscript"/>
        <sz val="10"/>
        <rFont val="Arial"/>
        <family val="2"/>
      </rPr>
      <t>R</t>
    </r>
    <r>
      <rPr>
        <sz val="10"/>
        <rFont val="Arial"/>
        <family val="2"/>
      </rPr>
      <t xml:space="preserve"> = (BMP efficiency) x P x (A</t>
    </r>
    <r>
      <rPr>
        <vertAlign val="subscript"/>
        <sz val="10"/>
        <rFont val="Arial"/>
        <family val="2"/>
      </rPr>
      <t>I</t>
    </r>
    <r>
      <rPr>
        <sz val="10"/>
        <rFont val="Arial"/>
        <family val="2"/>
      </rPr>
      <t xml:space="preserve"> x 34.6 + A</t>
    </r>
    <r>
      <rPr>
        <vertAlign val="subscript"/>
        <sz val="10"/>
        <rFont val="Arial"/>
        <family val="2"/>
      </rPr>
      <t>P</t>
    </r>
    <r>
      <rPr>
        <sz val="10"/>
        <rFont val="Arial"/>
        <family val="2"/>
      </rPr>
      <t xml:space="preserve"> x 0.54)</t>
    </r>
  </si>
  <si>
    <t>Calculations from RG-348 Pages 3-34 to 3-36</t>
  </si>
  <si>
    <t>Calculations from RG-348 Pages 3-36 to 3-37</t>
  </si>
  <si>
    <t>modules</t>
  </si>
  <si>
    <t>cfs</t>
  </si>
  <si>
    <t>Rainfall Intensity i =</t>
  </si>
  <si>
    <t>Post Development Runoff Coefficient =</t>
  </si>
  <si>
    <r>
      <t>Minimum Filter Modules based on L</t>
    </r>
    <r>
      <rPr>
        <vertAlign val="subscript"/>
        <sz val="10"/>
        <color theme="1"/>
        <rFont val="Arial"/>
        <family val="2"/>
      </rPr>
      <t>R</t>
    </r>
    <r>
      <rPr>
        <sz val="10"/>
        <color theme="1"/>
        <rFont val="Arial"/>
        <family val="2"/>
      </rPr>
      <t xml:space="preserve"> =</t>
    </r>
  </si>
  <si>
    <t>Enter number of additional Modules =</t>
  </si>
  <si>
    <t>Total Number of Modules =</t>
  </si>
  <si>
    <t>Annual TSS Load Capacity for Filter =</t>
  </si>
  <si>
    <t xml:space="preserve">Section 7 is the UFF sizing based on the required load reduction and water storage volune for the fraction of rainfall treated. </t>
  </si>
  <si>
    <t>lb</t>
  </si>
  <si>
    <t>Total project area included in plan =</t>
  </si>
  <si>
    <t>Total post-development impervious area within the limits of the plan =</t>
  </si>
  <si>
    <r>
      <t>4. Calculate Maximum TSS Load Removed (L</t>
    </r>
    <r>
      <rPr>
        <b/>
        <u/>
        <vertAlign val="subscript"/>
        <sz val="10"/>
        <rFont val="Arial"/>
        <family val="2"/>
      </rPr>
      <t>R</t>
    </r>
    <r>
      <rPr>
        <b/>
        <u/>
        <sz val="10"/>
        <rFont val="Arial"/>
        <family val="2"/>
      </rPr>
      <t>) for this Drainage Basin by the Selected BMP Type.</t>
    </r>
  </si>
  <si>
    <t>6. Calculate Capture Volume Required by the BMP Type for this Drainage Basin / Outfall Area.</t>
  </si>
  <si>
    <t>5. Calculate Fraction of Annual Runoff to Treat the Drainage Basin / Outfall Area.</t>
  </si>
  <si>
    <t>2. Drainage Basin Parameters (This information should be provided for each basin).</t>
  </si>
  <si>
    <t>1. The Required Load Reduction for the Total Project.</t>
  </si>
  <si>
    <r>
      <t>8. Up-Flo</t>
    </r>
    <r>
      <rPr>
        <b/>
        <u/>
        <sz val="10"/>
        <rFont val="Calibri"/>
        <family val="2"/>
      </rPr>
      <t>®</t>
    </r>
    <r>
      <rPr>
        <b/>
        <u/>
        <sz val="10"/>
        <rFont val="Arial"/>
        <family val="2"/>
      </rPr>
      <t xml:space="preserve"> Filter Sizing Based on Design Storm (No storage).</t>
    </r>
  </si>
  <si>
    <t>3. Indicate the Proposed BMP Code for this Basin.</t>
  </si>
  <si>
    <t>Total Capture Volume (required water quality volume x 1.20) =</t>
  </si>
  <si>
    <t>Calculations for Texas Commission on Environmental Quality TSS Removal Calculations</t>
  </si>
  <si>
    <t>Recalculated Capture Volume Required:</t>
  </si>
  <si>
    <t xml:space="preserve">7a. Additional Filter Modules to Increase Filter TSS Load Capacity: </t>
  </si>
  <si>
    <r>
      <t>7. Up-Flo</t>
    </r>
    <r>
      <rPr>
        <b/>
        <u/>
        <sz val="10"/>
        <rFont val="Calibri"/>
        <family val="2"/>
      </rPr>
      <t>®</t>
    </r>
    <r>
      <rPr>
        <b/>
        <u/>
        <sz val="10"/>
        <rFont val="Arial"/>
        <family val="2"/>
      </rPr>
      <t xml:space="preserve"> Filter TSS Load Based Sizing.</t>
    </r>
  </si>
  <si>
    <t>Flow Rate</t>
  </si>
  <si>
    <t>(cfs)</t>
  </si>
  <si>
    <t>Filter Modules</t>
  </si>
  <si>
    <t>(#)</t>
  </si>
  <si>
    <t xml:space="preserve">Flow Rate </t>
  </si>
  <si>
    <t>(gpm)</t>
  </si>
  <si>
    <t>Configuration</t>
  </si>
  <si>
    <t>4' Dia</t>
  </si>
  <si>
    <t>Manhole</t>
  </si>
  <si>
    <t>6 x 8</t>
  </si>
  <si>
    <t>6 x 13</t>
  </si>
  <si>
    <t>6 x L</t>
  </si>
  <si>
    <t>7 x L</t>
  </si>
  <si>
    <t>8 x L</t>
  </si>
  <si>
    <t>9 x L</t>
  </si>
  <si>
    <t>10 x L</t>
  </si>
  <si>
    <t>11 x L</t>
  </si>
  <si>
    <t>12 x L</t>
  </si>
  <si>
    <t>13 x L</t>
  </si>
  <si>
    <t>14 x L</t>
  </si>
  <si>
    <t>15 x L</t>
  </si>
  <si>
    <t>L = Length varies with Filter Modules</t>
  </si>
  <si>
    <t>8.5 x 13</t>
  </si>
  <si>
    <t>13 x 15</t>
  </si>
  <si>
    <t>1 Bay Vault</t>
  </si>
  <si>
    <t>2 Bay Vault</t>
  </si>
  <si>
    <t>3 Bay Vault</t>
  </si>
  <si>
    <t>Custom</t>
  </si>
  <si>
    <t>55 +</t>
  </si>
  <si>
    <t>Contact Hydro</t>
  </si>
  <si>
    <t xml:space="preserve"> (Internal Size)</t>
  </si>
  <si>
    <t>enquires@hydro-int.com</t>
  </si>
  <si>
    <t xml:space="preserve">Contact email: </t>
  </si>
  <si>
    <t>Size*</t>
  </si>
  <si>
    <t xml:space="preserve">* Dimensions are indicative internal sizes and can be configured to fit site requirements and local precast supply forms. </t>
  </si>
  <si>
    <r>
      <t>Up-Flo</t>
    </r>
    <r>
      <rPr>
        <b/>
        <vertAlign val="superscript"/>
        <sz val="10"/>
        <rFont val="Arial"/>
        <family val="2"/>
      </rPr>
      <t>®</t>
    </r>
    <r>
      <rPr>
        <b/>
        <sz val="10"/>
        <rFont val="Arial"/>
        <family val="2"/>
      </rPr>
      <t xml:space="preserve"> Filter Filter Chamber Size</t>
    </r>
  </si>
  <si>
    <t xml:space="preserve">Web: </t>
  </si>
  <si>
    <t>https://hydro-int.com/en/products/flo-filter</t>
  </si>
  <si>
    <t>Comments</t>
  </si>
  <si>
    <r>
      <t>Up-Flo</t>
    </r>
    <r>
      <rPr>
        <b/>
        <sz val="10"/>
        <rFont val="Calibri"/>
        <family val="2"/>
      </rPr>
      <t>®</t>
    </r>
    <r>
      <rPr>
        <b/>
        <sz val="10"/>
        <rFont val="Arial"/>
        <family val="2"/>
      </rPr>
      <t xml:space="preserve"> Filter CPZ</t>
    </r>
  </si>
  <si>
    <t>This value is fixed at 78% and should not be altered.</t>
  </si>
  <si>
    <t>Refer to "UpFloFilter" tab for Filter flow rates.</t>
  </si>
  <si>
    <t>Note</t>
  </si>
  <si>
    <t>Vaults can be configured in different ways to fit a site and local precast supply sizes.</t>
  </si>
  <si>
    <t>Hydraulic requirements are the same for all configuration. This is diagramatic only.</t>
  </si>
  <si>
    <t>Basic Head Requirements</t>
  </si>
  <si>
    <t>Total Filter Modules required</t>
  </si>
  <si>
    <t xml:space="preserve">Section 8 - Sizing the UFF assuming no storage provided upstream, if allowable. Not generally practical for flows over approximately 3 cfs. </t>
  </si>
  <si>
    <t xml:space="preserve">(Q=CiA) This flow rate is a brief peak runoff rate and for the majority of time the average flow rate is much less. </t>
  </si>
  <si>
    <t>Add Filter Modules until treated fraction in cell D97 falls below 1 or to reduce the required WQCV if desired.</t>
  </si>
  <si>
    <r>
      <t xml:space="preserve">New allowable release rate from upstream storage. </t>
    </r>
    <r>
      <rPr>
        <b/>
        <sz val="10"/>
        <rFont val="Arial"/>
        <family val="2"/>
      </rPr>
      <t>Refer to "UpFloFilter" tab for Filter flow rates and vault sizes.</t>
    </r>
  </si>
  <si>
    <t>Total TSS reduction capacity of the filter.</t>
  </si>
  <si>
    <r>
      <t xml:space="preserve">Recalculated "F" based on additional sediment capture capacity of additional filter modules. "F" must be </t>
    </r>
    <r>
      <rPr>
        <sz val="10"/>
        <rFont val="Calibri"/>
        <family val="2"/>
      </rPr>
      <t>≤</t>
    </r>
    <r>
      <rPr>
        <sz val="10"/>
        <rFont val="Arial"/>
        <family val="2"/>
      </rPr>
      <t>1.</t>
    </r>
  </si>
  <si>
    <t>Looks up new rainfall depth based on new "F" for extra modules.</t>
  </si>
  <si>
    <t>Recalculted based on new rainfall depth.</t>
  </si>
  <si>
    <t>From Cell D79.</t>
  </si>
  <si>
    <t>Sections 1 - 6 TCEQ Spreadsheet.</t>
  </si>
  <si>
    <r>
      <t>Calculated using L</t>
    </r>
    <r>
      <rPr>
        <vertAlign val="subscript"/>
        <sz val="10"/>
        <rFont val="Arial"/>
        <family val="2"/>
      </rPr>
      <t>M</t>
    </r>
    <r>
      <rPr>
        <sz val="10"/>
        <rFont val="Arial"/>
        <family val="2"/>
      </rPr>
      <t xml:space="preserve"> / 132 lb per module. (Load at which a 10% flow reduction is seen based on NJCAT verified field test TARP 2009 protocols.)</t>
    </r>
  </si>
  <si>
    <t>This section allows the designer to add additional filter modules to increase the TSS load removal capacity of the Filter.</t>
  </si>
  <si>
    <r>
      <t>If "F" is greater than 1, additional Filter Modules will be required in Section 7a or another BMP placed in series to reduce TSS load "L</t>
    </r>
    <r>
      <rPr>
        <vertAlign val="subscript"/>
        <sz val="10"/>
        <rFont val="Arial"/>
        <family val="2"/>
      </rPr>
      <t>M</t>
    </r>
    <r>
      <rPr>
        <sz val="10"/>
        <rFont val="Arial"/>
        <family val="2"/>
      </rPr>
      <t>".</t>
    </r>
  </si>
  <si>
    <r>
      <t>To get greater than 80% TSS increase L</t>
    </r>
    <r>
      <rPr>
        <vertAlign val="subscript"/>
        <sz val="10"/>
        <rFont val="Arial"/>
        <family val="2"/>
      </rPr>
      <t>M</t>
    </r>
    <r>
      <rPr>
        <sz val="10"/>
        <rFont val="Arial"/>
        <family val="2"/>
      </rPr>
      <t xml:space="preserve"> in Cell D61</t>
    </r>
    <r>
      <rPr>
        <vertAlign val="subscript"/>
        <sz val="10"/>
        <rFont val="Arial"/>
        <family val="2"/>
      </rPr>
      <t xml:space="preserve"> </t>
    </r>
    <r>
      <rPr>
        <sz val="10"/>
        <rFont val="Arial"/>
        <family val="2"/>
      </rPr>
      <t>by multiplying L</t>
    </r>
    <r>
      <rPr>
        <vertAlign val="subscript"/>
        <sz val="10"/>
        <rFont val="Arial"/>
        <family val="2"/>
      </rPr>
      <t>M</t>
    </r>
    <r>
      <rPr>
        <sz val="10"/>
        <rFont val="Arial"/>
        <family val="2"/>
      </rPr>
      <t xml:space="preserve"> in cell D37 by X/80 where X is the desired removal efficiency.</t>
    </r>
  </si>
  <si>
    <t>Example Calculation</t>
  </si>
  <si>
    <t>Filter Release Rate =</t>
  </si>
  <si>
    <t>Water Quality Volume Required  =</t>
  </si>
  <si>
    <t>Offsite Inflow Rate =</t>
  </si>
  <si>
    <t>On Site Inflow Rate =</t>
  </si>
  <si>
    <t>Total Inflow Rate =</t>
  </si>
  <si>
    <t>Check for WQv Requirement Based on Filter Inflow and Outflow Equalization</t>
  </si>
  <si>
    <t>Maximum Filter Release Rate  =</t>
  </si>
  <si>
    <t>Maximum Filter Release Rate =</t>
  </si>
  <si>
    <t>in/hr</t>
  </si>
  <si>
    <t>Based on "F" in D93.</t>
  </si>
  <si>
    <t>←</t>
  </si>
  <si>
    <t>If "Yes" water quality volume storage must be provided as the inflow exceeds the filtration rate or add more filter modules in Cell D91.</t>
  </si>
  <si>
    <r>
      <t>Hydro International Up-Flo</t>
    </r>
    <r>
      <rPr>
        <b/>
        <sz val="12"/>
        <rFont val="Calibri"/>
        <family val="2"/>
      </rPr>
      <t>®</t>
    </r>
    <r>
      <rPr>
        <b/>
        <sz val="12"/>
        <rFont val="Arial"/>
        <family val="2"/>
      </rPr>
      <t xml:space="preserve"> Filter - Sizing Spreadsheet Revision 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</si>
</sst>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40" x14ac:knownFonts="1">
    <font>
      <sz val="10"/>
      <name val="Arial"/>
    </font>
    <font>
      <b/>
      <i/>
      <sz val="12"/>
      <name val="Arial"/>
      <family val="2"/>
    </font>
    <font>
      <b/>
      <sz val="10"/>
      <name val="Arial"/>
    </font>
    <font>
      <b/>
      <sz val="12"/>
      <color indexed="10"/>
      <name val="Arial"/>
      <family val="2"/>
    </font>
    <font>
      <sz val="10"/>
      <name val="Arial"/>
      <family val="2"/>
    </font>
    <font>
      <b/>
      <sz val="12"/>
      <color indexed="10"/>
      <name val="Arial"/>
    </font>
    <font>
      <sz val="12"/>
      <name val="Arial"/>
    </font>
    <font>
      <sz val="12"/>
      <color indexed="12"/>
      <name val="Arial"/>
      <family val="2"/>
    </font>
    <font>
      <sz val="10"/>
      <color indexed="12"/>
      <name val="Arial"/>
    </font>
    <font>
      <sz val="12"/>
      <name val="Arial"/>
      <family val="2"/>
    </font>
    <font>
      <b/>
      <u/>
      <sz val="10"/>
      <name val="Arial"/>
      <family val="2"/>
    </font>
    <font>
      <vertAlign val="subscript"/>
      <sz val="10"/>
      <name val="Arial"/>
      <family val="2"/>
    </font>
    <font>
      <sz val="8"/>
      <name val="Arial"/>
      <family val="2"/>
    </font>
    <font>
      <b/>
      <sz val="10"/>
      <color indexed="10"/>
      <name val="Arial"/>
      <family val="2"/>
    </font>
    <font>
      <sz val="10"/>
      <color indexed="14"/>
      <name val="Arial"/>
      <family val="2"/>
    </font>
    <font>
      <b/>
      <sz val="10"/>
      <name val="Arial"/>
      <family val="2"/>
    </font>
    <font>
      <b/>
      <sz val="10"/>
      <color indexed="8"/>
      <name val="Arial"/>
      <family val="2"/>
    </font>
    <font>
      <b/>
      <sz val="10"/>
      <color indexed="10"/>
      <name val="Arial"/>
    </font>
    <font>
      <b/>
      <u/>
      <vertAlign val="subscript"/>
      <sz val="10"/>
      <name val="Arial"/>
      <family val="2"/>
    </font>
    <font>
      <sz val="10"/>
      <color indexed="39"/>
      <name val="Arial"/>
      <family val="2"/>
    </font>
    <font>
      <sz val="10"/>
      <color indexed="48"/>
      <name val="Arial"/>
      <family val="2"/>
    </font>
    <font>
      <sz val="12"/>
      <name val="Times New Roman"/>
      <family val="1"/>
    </font>
    <font>
      <sz val="8"/>
      <color indexed="81"/>
      <name val="Tahoma"/>
    </font>
    <font>
      <b/>
      <sz val="8"/>
      <color indexed="14"/>
      <name val="Tahoma"/>
      <family val="2"/>
    </font>
    <font>
      <b/>
      <sz val="12"/>
      <name val="Arial"/>
      <family val="2"/>
    </font>
    <font>
      <b/>
      <vertAlign val="subscript"/>
      <sz val="10"/>
      <color indexed="14"/>
      <name val="Tahoma"/>
      <family val="2"/>
    </font>
    <font>
      <sz val="10"/>
      <name val="Arial"/>
    </font>
    <font>
      <sz val="10"/>
      <color theme="1"/>
      <name val="Arial"/>
      <family val="2"/>
    </font>
    <font>
      <b/>
      <sz val="12"/>
      <name val="Calibri"/>
      <family val="2"/>
    </font>
    <font>
      <sz val="10"/>
      <color indexed="12"/>
      <name val="Arial"/>
      <family val="2"/>
    </font>
    <font>
      <b/>
      <u/>
      <sz val="10"/>
      <name val="Calibri"/>
      <family val="2"/>
    </font>
    <font>
      <b/>
      <sz val="10"/>
      <color rgb="FFFF0000"/>
      <name val="Arial"/>
      <family val="2"/>
    </font>
    <font>
      <sz val="11"/>
      <color theme="1"/>
      <name val="Arial"/>
      <family val="2"/>
    </font>
    <font>
      <vertAlign val="subscript"/>
      <sz val="10"/>
      <color theme="1"/>
      <name val="Arial"/>
      <family val="2"/>
    </font>
    <font>
      <sz val="9"/>
      <color indexed="81"/>
      <name val="Tahoma"/>
      <charset val="1"/>
    </font>
    <font>
      <u/>
      <sz val="10"/>
      <color theme="10"/>
      <name val="Arial"/>
      <family val="2"/>
    </font>
    <font>
      <b/>
      <vertAlign val="superscript"/>
      <sz val="10"/>
      <name val="Arial"/>
      <family val="2"/>
    </font>
    <font>
      <sz val="9"/>
      <color indexed="81"/>
      <name val="Tahoma"/>
      <family val="2"/>
    </font>
    <font>
      <b/>
      <sz val="10"/>
      <name val="Calibri"/>
      <family val="2"/>
    </font>
    <font>
      <sz val="10"/>
      <name val="Calibri"/>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0">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26" fillId="0" borderId="0" applyFont="0" applyFill="0" applyBorder="0" applyAlignment="0" applyProtection="0"/>
    <xf numFmtId="0" fontId="35" fillId="0" borderId="0" applyNumberFormat="0" applyFill="0" applyBorder="0" applyAlignment="0" applyProtection="0"/>
  </cellStyleXfs>
  <cellXfs count="126">
    <xf numFmtId="0" fontId="0" fillId="0" borderId="0" xfId="0"/>
    <xf numFmtId="0" fontId="0" fillId="0" borderId="0" xfId="0" applyProtection="1">
      <protection locked="0"/>
    </xf>
    <xf numFmtId="1" fontId="15" fillId="0" borderId="0" xfId="0" applyNumberFormat="1" applyFont="1" applyAlignment="1" applyProtection="1">
      <alignment horizontal="center"/>
    </xf>
    <xf numFmtId="2" fontId="0" fillId="0" borderId="0" xfId="0" applyNumberFormat="1"/>
    <xf numFmtId="0" fontId="0" fillId="0" borderId="0" xfId="0" applyProtection="1"/>
    <xf numFmtId="0" fontId="21" fillId="0" borderId="0" xfId="0" applyFont="1" applyAlignment="1">
      <alignment horizontal="justify" vertical="top" wrapText="1"/>
    </xf>
    <xf numFmtId="0" fontId="21" fillId="0" borderId="0" xfId="0" applyFont="1" applyAlignment="1">
      <alignment horizontal="center" vertical="top" wrapText="1"/>
    </xf>
    <xf numFmtId="0" fontId="21" fillId="0" borderId="1" xfId="0" applyFont="1" applyBorder="1" applyAlignment="1">
      <alignment horizontal="justify" vertical="top" wrapText="1"/>
    </xf>
    <xf numFmtId="0" fontId="21" fillId="0" borderId="1" xfId="0" applyFont="1" applyBorder="1" applyAlignment="1">
      <alignment horizontal="center" vertical="top" wrapText="1"/>
    </xf>
    <xf numFmtId="0" fontId="4" fillId="0" borderId="0" xfId="0" applyFont="1" applyProtection="1"/>
    <xf numFmtId="0" fontId="8" fillId="0" borderId="0" xfId="0" applyFont="1" applyProtection="1"/>
    <xf numFmtId="0" fontId="0" fillId="0" borderId="0" xfId="0" applyAlignment="1" applyProtection="1">
      <alignment horizontal="right"/>
    </xf>
    <xf numFmtId="0" fontId="20" fillId="0" borderId="0" xfId="0" applyFont="1" applyProtection="1"/>
    <xf numFmtId="0" fontId="4" fillId="0" borderId="0" xfId="0" applyFont="1"/>
    <xf numFmtId="0" fontId="4" fillId="2" borderId="2" xfId="0" applyFont="1" applyFill="1" applyBorder="1" applyProtection="1"/>
    <xf numFmtId="0" fontId="0" fillId="2" borderId="0" xfId="0" applyFill="1" applyProtection="1"/>
    <xf numFmtId="0" fontId="4" fillId="2" borderId="3" xfId="0" applyFont="1" applyFill="1" applyBorder="1" applyProtection="1"/>
    <xf numFmtId="0" fontId="4" fillId="2" borderId="0" xfId="0" applyFont="1" applyFill="1" applyProtection="1"/>
    <xf numFmtId="0" fontId="15" fillId="2" borderId="3" xfId="0" applyFont="1" applyFill="1" applyBorder="1" applyAlignment="1" applyProtection="1">
      <alignment horizontal="right"/>
    </xf>
    <xf numFmtId="14" fontId="6" fillId="2" borderId="0" xfId="0" applyNumberFormat="1" applyFont="1" applyFill="1" applyProtection="1"/>
    <xf numFmtId="14" fontId="5" fillId="2" borderId="0" xfId="0" applyNumberFormat="1" applyFont="1" applyFill="1" applyProtection="1"/>
    <xf numFmtId="0" fontId="29" fillId="2" borderId="0" xfId="0" applyFont="1" applyFill="1" applyProtection="1"/>
    <xf numFmtId="0" fontId="15" fillId="2" borderId="3" xfId="0" applyFont="1" applyFill="1" applyBorder="1" applyProtection="1"/>
    <xf numFmtId="0" fontId="4" fillId="2" borderId="3" xfId="0" applyFont="1" applyFill="1" applyBorder="1" applyAlignment="1" applyProtection="1">
      <alignment horizontal="right"/>
    </xf>
    <xf numFmtId="0" fontId="0" fillId="2" borderId="0" xfId="0" applyFill="1" applyAlignment="1" applyProtection="1">
      <alignment horizontal="right"/>
    </xf>
    <xf numFmtId="0" fontId="20" fillId="2" borderId="0" xfId="0" applyFont="1" applyFill="1" applyProtection="1"/>
    <xf numFmtId="0" fontId="15" fillId="2" borderId="0" xfId="0" applyFont="1" applyFill="1" applyProtection="1"/>
    <xf numFmtId="0" fontId="4" fillId="2" borderId="2" xfId="0" quotePrefix="1" applyFont="1" applyFill="1" applyBorder="1" applyProtection="1"/>
    <xf numFmtId="0" fontId="24" fillId="3" borderId="0" xfId="0" applyFont="1" applyFill="1" applyProtection="1"/>
    <xf numFmtId="0" fontId="0" fillId="3" borderId="0" xfId="0" applyFill="1" applyProtection="1"/>
    <xf numFmtId="0" fontId="1" fillId="3" borderId="0" xfId="0" applyFont="1" applyFill="1" applyProtection="1"/>
    <xf numFmtId="0" fontId="4" fillId="3" borderId="0" xfId="0" applyFont="1" applyFill="1" applyProtection="1"/>
    <xf numFmtId="0" fontId="2" fillId="3" borderId="0" xfId="0" applyFont="1" applyFill="1" applyAlignment="1" applyProtection="1">
      <alignment horizontal="right"/>
    </xf>
    <xf numFmtId="0" fontId="7" fillId="3" borderId="0" xfId="0" applyFont="1" applyFill="1" applyProtection="1"/>
    <xf numFmtId="0" fontId="3" fillId="3" borderId="0" xfId="0" applyFont="1" applyFill="1" applyProtection="1"/>
    <xf numFmtId="0" fontId="8" fillId="3" borderId="0" xfId="0" applyFont="1" applyFill="1" applyProtection="1"/>
    <xf numFmtId="0" fontId="10" fillId="3" borderId="0" xfId="0" applyFont="1" applyFill="1" applyProtection="1"/>
    <xf numFmtId="0" fontId="0" fillId="3" borderId="0" xfId="0" applyFill="1" applyAlignment="1" applyProtection="1">
      <alignment horizontal="right"/>
    </xf>
    <xf numFmtId="0" fontId="4" fillId="3" borderId="0" xfId="0" applyFont="1" applyFill="1" applyAlignment="1" applyProtection="1">
      <alignment horizontal="right"/>
    </xf>
    <xf numFmtId="0" fontId="15" fillId="3" borderId="0" xfId="0" applyFont="1" applyFill="1" applyAlignment="1" applyProtection="1">
      <alignment horizontal="right"/>
    </xf>
    <xf numFmtId="0" fontId="15" fillId="3" borderId="0" xfId="0" applyFont="1" applyFill="1" applyProtection="1"/>
    <xf numFmtId="0" fontId="13" fillId="3" borderId="4" xfId="0" applyFont="1" applyFill="1" applyBorder="1" applyAlignment="1" applyProtection="1">
      <alignment horizontal="center"/>
      <protection locked="0"/>
    </xf>
    <xf numFmtId="2" fontId="13" fillId="3" borderId="4" xfId="0" applyNumberFormat="1" applyFont="1" applyFill="1" applyBorder="1" applyAlignment="1" applyProtection="1">
      <alignment horizontal="center"/>
      <protection locked="0"/>
    </xf>
    <xf numFmtId="0" fontId="0" fillId="3" borderId="0" xfId="0" applyFill="1" applyAlignment="1" applyProtection="1"/>
    <xf numFmtId="2" fontId="16" fillId="3" borderId="0" xfId="0" applyNumberFormat="1" applyFont="1" applyFill="1" applyBorder="1" applyAlignment="1" applyProtection="1">
      <alignment horizontal="center"/>
    </xf>
    <xf numFmtId="0" fontId="15" fillId="3" borderId="0" xfId="0" applyFont="1" applyFill="1" applyBorder="1" applyAlignment="1" applyProtection="1">
      <alignment horizontal="center"/>
    </xf>
    <xf numFmtId="0" fontId="9" fillId="3" borderId="0" xfId="0" applyFont="1" applyFill="1" applyProtection="1"/>
    <xf numFmtId="0" fontId="8" fillId="3" borderId="0" xfId="0" applyFont="1" applyFill="1" applyAlignment="1" applyProtection="1">
      <alignment horizontal="center"/>
    </xf>
    <xf numFmtId="1" fontId="15" fillId="3" borderId="0" xfId="0" applyNumberFormat="1" applyFont="1" applyFill="1" applyAlignment="1" applyProtection="1">
      <alignment horizontal="center"/>
    </xf>
    <xf numFmtId="0" fontId="17" fillId="3" borderId="4" xfId="0" applyFont="1" applyFill="1" applyBorder="1" applyAlignment="1" applyProtection="1">
      <alignment horizontal="center"/>
      <protection locked="0"/>
    </xf>
    <xf numFmtId="3" fontId="15" fillId="3" borderId="0" xfId="0" applyNumberFormat="1" applyFont="1" applyFill="1" applyAlignment="1" applyProtection="1">
      <alignment horizontal="center"/>
    </xf>
    <xf numFmtId="0" fontId="14" fillId="3" borderId="0" xfId="0" applyFont="1" applyFill="1" applyProtection="1"/>
    <xf numFmtId="164" fontId="15" fillId="3" borderId="0" xfId="0" applyNumberFormat="1" applyFont="1" applyFill="1" applyAlignment="1" applyProtection="1">
      <alignment horizontal="center"/>
    </xf>
    <xf numFmtId="2" fontId="13" fillId="3" borderId="4" xfId="0" applyNumberFormat="1" applyFont="1" applyFill="1" applyBorder="1" applyAlignment="1" applyProtection="1">
      <alignment horizontal="left"/>
      <protection locked="0"/>
    </xf>
    <xf numFmtId="2" fontId="15" fillId="3" borderId="0" xfId="0" applyNumberFormat="1" applyFont="1" applyFill="1" applyAlignment="1" applyProtection="1">
      <alignment horizontal="center"/>
    </xf>
    <xf numFmtId="0" fontId="4" fillId="3" borderId="0" xfId="0" applyFont="1" applyFill="1" applyAlignment="1" applyProtection="1">
      <alignment horizontal="left"/>
    </xf>
    <xf numFmtId="2" fontId="4" fillId="3" borderId="0" xfId="0" applyNumberFormat="1" applyFont="1" applyFill="1" applyAlignment="1" applyProtection="1">
      <alignment horizontal="left"/>
    </xf>
    <xf numFmtId="0" fontId="10" fillId="3" borderId="0" xfId="0" applyFont="1" applyFill="1" applyAlignment="1" applyProtection="1">
      <alignment horizontal="left"/>
    </xf>
    <xf numFmtId="3" fontId="13" fillId="3" borderId="4" xfId="0" applyNumberFormat="1" applyFont="1" applyFill="1" applyBorder="1" applyAlignment="1" applyProtection="1">
      <alignment horizontal="center"/>
      <protection locked="0"/>
    </xf>
    <xf numFmtId="0" fontId="29" fillId="3" borderId="0" xfId="0" applyFont="1" applyFill="1" applyProtection="1"/>
    <xf numFmtId="2" fontId="16" fillId="3" borderId="0" xfId="0" applyNumberFormat="1" applyFont="1" applyFill="1" applyAlignment="1" applyProtection="1">
      <alignment horizontal="center"/>
    </xf>
    <xf numFmtId="0" fontId="0" fillId="3" borderId="0" xfId="0" applyFont="1" applyFill="1" applyAlignment="1" applyProtection="1">
      <alignment horizontal="right"/>
    </xf>
    <xf numFmtId="3" fontId="15" fillId="3" borderId="0" xfId="1" applyNumberFormat="1" applyFont="1" applyFill="1" applyAlignment="1" applyProtection="1">
      <alignment horizontal="center"/>
    </xf>
    <xf numFmtId="0" fontId="0" fillId="0" borderId="0" xfId="0" applyAlignment="1"/>
    <xf numFmtId="0" fontId="0" fillId="0" borderId="0" xfId="0" applyAlignment="1">
      <alignment horizontal="center"/>
    </xf>
    <xf numFmtId="0" fontId="0" fillId="0" borderId="0" xfId="0" applyAlignment="1">
      <alignment horizontal="center" vertical="center"/>
    </xf>
    <xf numFmtId="2" fontId="0" fillId="0" borderId="0" xfId="0" applyNumberFormat="1" applyAlignment="1">
      <alignment horizontal="center" vertical="center"/>
    </xf>
    <xf numFmtId="0" fontId="15" fillId="0" borderId="0" xfId="0" applyFont="1" applyAlignment="1">
      <alignment horizontal="center" vertical="center"/>
    </xf>
    <xf numFmtId="0" fontId="4" fillId="0" borderId="0" xfId="0" applyFont="1" applyAlignment="1">
      <alignment horizontal="center" vertical="center"/>
    </xf>
    <xf numFmtId="2" fontId="4" fillId="0" borderId="0" xfId="0" applyNumberFormat="1" applyFont="1" applyAlignment="1">
      <alignment horizontal="center" vertical="center"/>
    </xf>
    <xf numFmtId="0" fontId="15" fillId="0" borderId="0" xfId="0" applyFont="1" applyAlignment="1">
      <alignment horizontal="center" vertical="center" wrapText="1"/>
    </xf>
    <xf numFmtId="2" fontId="35" fillId="0" borderId="0" xfId="2" applyNumberFormat="1" applyAlignment="1">
      <alignment horizontal="left" vertical="center"/>
    </xf>
    <xf numFmtId="0" fontId="4" fillId="0" borderId="0" xfId="0" applyFont="1" applyAlignment="1">
      <alignment horizontal="left" vertical="center"/>
    </xf>
    <xf numFmtId="0" fontId="0" fillId="0" borderId="6" xfId="0" applyBorder="1" applyAlignment="1">
      <alignment horizontal="center" vertical="center"/>
    </xf>
    <xf numFmtId="0" fontId="35" fillId="0" borderId="0" xfId="2"/>
    <xf numFmtId="0" fontId="0" fillId="2" borderId="2" xfId="0" applyFill="1" applyBorder="1" applyProtection="1"/>
    <xf numFmtId="0" fontId="0" fillId="3" borderId="1" xfId="0" applyFill="1" applyBorder="1" applyProtection="1"/>
    <xf numFmtId="0" fontId="0" fillId="3" borderId="7" xfId="0" applyFill="1" applyBorder="1" applyProtection="1"/>
    <xf numFmtId="0" fontId="4" fillId="3" borderId="0" xfId="0" applyFont="1" applyFill="1" applyBorder="1" applyProtection="1"/>
    <xf numFmtId="0" fontId="0" fillId="3" borderId="0" xfId="0" applyFill="1" applyBorder="1" applyProtection="1"/>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0" fillId="0" borderId="9" xfId="0" applyBorder="1" applyAlignment="1">
      <alignment horizontal="center" vertical="center"/>
    </xf>
    <xf numFmtId="2" fontId="0" fillId="0" borderId="10" xfId="0" applyNumberForma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0" fillId="0" borderId="2" xfId="0" applyBorder="1" applyAlignment="1">
      <alignment horizontal="center" vertical="center"/>
    </xf>
    <xf numFmtId="2" fontId="0" fillId="0" borderId="0" xfId="0" applyNumberForma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2" fontId="0" fillId="0" borderId="12" xfId="0" applyNumberFormat="1" applyBorder="1" applyAlignment="1">
      <alignment horizontal="center" vertical="center"/>
    </xf>
    <xf numFmtId="0" fontId="0" fillId="0" borderId="1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0" fillId="0" borderId="0" xfId="0" applyBorder="1"/>
    <xf numFmtId="0" fontId="0" fillId="0" borderId="16" xfId="0" applyBorder="1"/>
    <xf numFmtId="0" fontId="0" fillId="0" borderId="17" xfId="0" applyBorder="1"/>
    <xf numFmtId="0" fontId="24" fillId="2" borderId="2" xfId="0" applyFont="1" applyFill="1" applyBorder="1" applyProtection="1"/>
    <xf numFmtId="0" fontId="24" fillId="2" borderId="0" xfId="0" applyFont="1" applyFill="1" applyProtection="1"/>
    <xf numFmtId="0" fontId="24" fillId="0" borderId="0" xfId="0" applyFont="1" applyProtection="1"/>
    <xf numFmtId="0" fontId="19" fillId="3" borderId="0" xfId="0" applyFont="1" applyFill="1" applyAlignment="1" applyProtection="1">
      <alignment horizontal="left"/>
    </xf>
    <xf numFmtId="0" fontId="15" fillId="0" borderId="0" xfId="0" applyFont="1" applyProtection="1"/>
    <xf numFmtId="0" fontId="27" fillId="3" borderId="0" xfId="0" applyFont="1" applyFill="1" applyAlignment="1" applyProtection="1">
      <alignment vertical="center"/>
    </xf>
    <xf numFmtId="0" fontId="27" fillId="3" borderId="0" xfId="0" applyFont="1" applyFill="1" applyAlignment="1" applyProtection="1">
      <alignment horizontal="right" vertical="center"/>
    </xf>
    <xf numFmtId="0" fontId="32" fillId="0" borderId="0" xfId="0" applyFont="1" applyAlignment="1" applyProtection="1">
      <alignment vertical="center"/>
    </xf>
    <xf numFmtId="0" fontId="15" fillId="2" borderId="2" xfId="0" applyFont="1" applyFill="1" applyBorder="1" applyProtection="1"/>
    <xf numFmtId="2" fontId="0" fillId="0" borderId="0" xfId="0" applyNumberFormat="1" applyProtection="1"/>
    <xf numFmtId="0" fontId="27" fillId="3" borderId="0" xfId="0" applyFont="1" applyFill="1" applyAlignment="1" applyProtection="1">
      <alignment horizontal="center" vertical="center"/>
    </xf>
    <xf numFmtId="0" fontId="0" fillId="3" borderId="0" xfId="0" applyFill="1" applyAlignment="1" applyProtection="1">
      <alignment horizontal="center"/>
    </xf>
    <xf numFmtId="0" fontId="12" fillId="2" borderId="2" xfId="0" applyFont="1" applyFill="1" applyBorder="1" applyProtection="1"/>
    <xf numFmtId="0" fontId="15" fillId="3" borderId="0" xfId="0" applyFont="1" applyFill="1" applyAlignment="1" applyProtection="1">
      <alignment horizontal="center"/>
    </xf>
    <xf numFmtId="0" fontId="4" fillId="2" borderId="0" xfId="0" applyFont="1" applyFill="1" applyBorder="1" applyProtection="1"/>
    <xf numFmtId="0" fontId="27" fillId="3" borderId="0" xfId="0" applyFont="1" applyFill="1" applyAlignment="1" applyProtection="1">
      <alignment horizontal="right"/>
    </xf>
    <xf numFmtId="0" fontId="31" fillId="3" borderId="4" xfId="0" applyFont="1" applyFill="1" applyBorder="1" applyAlignment="1" applyProtection="1">
      <alignment horizontal="center"/>
      <protection locked="0"/>
    </xf>
    <xf numFmtId="0" fontId="0" fillId="3" borderId="0" xfId="0" applyFont="1" applyFill="1" applyProtection="1"/>
    <xf numFmtId="0" fontId="15" fillId="3" borderId="1" xfId="0" applyFont="1" applyFill="1" applyBorder="1" applyProtection="1"/>
    <xf numFmtId="0" fontId="39" fillId="2" borderId="3" xfId="0" applyFont="1" applyFill="1" applyBorder="1" applyProtection="1"/>
    <xf numFmtId="0" fontId="15" fillId="0" borderId="0" xfId="0" applyFont="1" applyAlignment="1">
      <alignment horizontal="center" vertical="center"/>
    </xf>
    <xf numFmtId="0" fontId="4" fillId="0" borderId="18" xfId="0" applyFont="1" applyBorder="1" applyAlignment="1">
      <alignment horizontal="center"/>
    </xf>
    <xf numFmtId="0" fontId="4" fillId="0" borderId="1" xfId="0" applyFont="1" applyBorder="1" applyAlignment="1">
      <alignment horizontal="center"/>
    </xf>
    <xf numFmtId="0" fontId="4" fillId="0" borderId="19"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cellXfs>
  <cellStyles count="3">
    <cellStyle name="Comma" xfId="1" builtinId="3"/>
    <cellStyle name="Hyperlink" xfId="2" builtinId="8"/>
    <cellStyle name="Normal" xfId="0" builtinId="0"/>
  </cellStyles>
  <dxfs count="2">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109</xdr:row>
      <xdr:rowOff>0</xdr:rowOff>
    </xdr:from>
    <xdr:to>
      <xdr:col>6</xdr:col>
      <xdr:colOff>85725</xdr:colOff>
      <xdr:row>110</xdr:row>
      <xdr:rowOff>38100</xdr:rowOff>
    </xdr:to>
    <xdr:sp macro="" textlink="">
      <xdr:nvSpPr>
        <xdr:cNvPr id="1097" name="Text Box 1">
          <a:extLst>
            <a:ext uri="{FF2B5EF4-FFF2-40B4-BE49-F238E27FC236}">
              <a16:creationId xmlns:a16="http://schemas.microsoft.com/office/drawing/2014/main" id="{81575CC2-9713-4BD6-8638-C70CEC2356C7}"/>
            </a:ext>
          </a:extLst>
        </xdr:cNvPr>
        <xdr:cNvSpPr txBox="1">
          <a:spLocks noChangeArrowheads="1"/>
        </xdr:cNvSpPr>
      </xdr:nvSpPr>
      <xdr:spPr bwMode="auto">
        <a:xfrm>
          <a:off x="7038975" y="39671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xdr:colOff>
      <xdr:row>4</xdr:row>
      <xdr:rowOff>57150</xdr:rowOff>
    </xdr:from>
    <xdr:to>
      <xdr:col>19</xdr:col>
      <xdr:colOff>580074</xdr:colOff>
      <xdr:row>21</xdr:row>
      <xdr:rowOff>56806</xdr:rowOff>
    </xdr:to>
    <xdr:pic>
      <xdr:nvPicPr>
        <xdr:cNvPr id="2" name="Picture 1">
          <a:extLst>
            <a:ext uri="{FF2B5EF4-FFF2-40B4-BE49-F238E27FC236}">
              <a16:creationId xmlns:a16="http://schemas.microsoft.com/office/drawing/2014/main" id="{6D042C03-E4D0-424D-B1D2-489B996463AB}"/>
            </a:ext>
          </a:extLst>
        </xdr:cNvPr>
        <xdr:cNvPicPr>
          <a:picLocks noChangeAspect="1"/>
        </xdr:cNvPicPr>
      </xdr:nvPicPr>
      <xdr:blipFill>
        <a:blip xmlns:r="http://schemas.openxmlformats.org/officeDocument/2006/relationships" r:embed="rId1"/>
        <a:stretch>
          <a:fillRect/>
        </a:stretch>
      </xdr:blipFill>
      <xdr:spPr>
        <a:xfrm>
          <a:off x="8734425" y="723900"/>
          <a:ext cx="7609524" cy="27523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hydro-int.com/en/products/flo-filter" TargetMode="External"/><Relationship Id="rId1" Type="http://schemas.openxmlformats.org/officeDocument/2006/relationships/hyperlink" Target="mailto:enquires@hydro-int.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9"/>
  <sheetViews>
    <sheetView tabSelected="1" workbookViewId="0">
      <selection activeCell="A3" sqref="A3"/>
    </sheetView>
  </sheetViews>
  <sheetFormatPr defaultColWidth="9.1796875" defaultRowHeight="12.5" x14ac:dyDescent="0.25"/>
  <cols>
    <col min="1" max="2" width="16.26953125" style="4" customWidth="1"/>
    <col min="3" max="3" width="45.453125" style="4" customWidth="1"/>
    <col min="4" max="4" width="17.26953125" style="4" customWidth="1"/>
    <col min="5" max="5" width="12.54296875" style="4" customWidth="1"/>
    <col min="6" max="6" width="4.54296875" style="9" customWidth="1"/>
    <col min="7" max="7" width="128" style="4" customWidth="1"/>
    <col min="8" max="8" width="7.81640625" style="4" customWidth="1"/>
    <col min="9" max="16384" width="9.1796875" style="4"/>
  </cols>
  <sheetData>
    <row r="1" spans="1:8" ht="15.5" x14ac:dyDescent="0.35">
      <c r="A1" s="28" t="s">
        <v>85</v>
      </c>
      <c r="B1" s="28"/>
      <c r="C1" s="28"/>
      <c r="D1" s="28"/>
      <c r="E1" s="28"/>
      <c r="F1" s="99" t="s">
        <v>127</v>
      </c>
      <c r="G1" s="100"/>
      <c r="H1" s="101"/>
    </row>
    <row r="2" spans="1:8" ht="15.5" x14ac:dyDescent="0.35">
      <c r="A2" s="28" t="s">
        <v>163</v>
      </c>
      <c r="B2" s="29"/>
      <c r="C2" s="29"/>
      <c r="D2" s="29"/>
      <c r="E2" s="29"/>
      <c r="F2" s="14"/>
      <c r="G2" s="15"/>
    </row>
    <row r="3" spans="1:8" ht="15.5" x14ac:dyDescent="0.35">
      <c r="B3" s="30"/>
      <c r="C3" s="29"/>
      <c r="D3" s="29"/>
      <c r="E3" s="34"/>
      <c r="F3" s="16"/>
      <c r="G3" s="17" t="s">
        <v>145</v>
      </c>
    </row>
    <row r="4" spans="1:8" ht="15.5" x14ac:dyDescent="0.35">
      <c r="A4" s="31"/>
      <c r="B4" s="32" t="s">
        <v>0</v>
      </c>
      <c r="C4" s="53" t="s">
        <v>150</v>
      </c>
      <c r="D4" s="29"/>
      <c r="E4" s="29"/>
      <c r="F4" s="18"/>
      <c r="G4" s="19"/>
    </row>
    <row r="5" spans="1:8" ht="15.5" x14ac:dyDescent="0.35">
      <c r="A5" s="33"/>
      <c r="B5" s="32" t="s">
        <v>1</v>
      </c>
      <c r="C5" s="53"/>
      <c r="D5" s="29"/>
      <c r="E5" s="29"/>
      <c r="F5" s="18"/>
      <c r="G5" s="19"/>
    </row>
    <row r="6" spans="1:8" ht="15.5" x14ac:dyDescent="0.35">
      <c r="A6" s="34"/>
      <c r="B6" s="34"/>
      <c r="C6" s="29"/>
      <c r="D6" s="35"/>
      <c r="E6" s="29"/>
      <c r="F6" s="18"/>
      <c r="G6" s="20"/>
    </row>
    <row r="7" spans="1:8" ht="15.5" x14ac:dyDescent="0.35">
      <c r="A7" s="36" t="s">
        <v>81</v>
      </c>
      <c r="B7" s="36"/>
      <c r="C7" s="29"/>
      <c r="D7" s="35"/>
      <c r="E7" s="29"/>
      <c r="F7" s="18"/>
      <c r="G7" s="20"/>
    </row>
    <row r="8" spans="1:8" x14ac:dyDescent="0.25">
      <c r="A8" s="29"/>
      <c r="B8" s="29"/>
      <c r="C8" s="29"/>
      <c r="D8" s="29"/>
      <c r="E8" s="29"/>
      <c r="F8" s="16"/>
      <c r="G8" s="15"/>
    </row>
    <row r="9" spans="1:8" ht="13" x14ac:dyDescent="0.3">
      <c r="A9" s="36"/>
      <c r="B9" s="36"/>
      <c r="C9" s="102" t="s">
        <v>55</v>
      </c>
      <c r="D9" s="29"/>
      <c r="E9" s="29"/>
      <c r="F9" s="18"/>
      <c r="G9" s="21"/>
    </row>
    <row r="10" spans="1:8" x14ac:dyDescent="0.25">
      <c r="A10" s="29"/>
      <c r="B10" s="29"/>
      <c r="C10" s="102" t="s">
        <v>59</v>
      </c>
      <c r="D10" s="29"/>
      <c r="E10" s="29"/>
      <c r="F10" s="16"/>
      <c r="G10" s="15"/>
    </row>
    <row r="11" spans="1:8" ht="15.5" x14ac:dyDescent="0.4">
      <c r="A11" s="29"/>
      <c r="B11" s="37"/>
      <c r="C11" s="31" t="s">
        <v>60</v>
      </c>
      <c r="D11" s="29"/>
      <c r="E11" s="29"/>
      <c r="F11" s="16"/>
      <c r="G11" s="15"/>
    </row>
    <row r="12" spans="1:8" x14ac:dyDescent="0.25">
      <c r="A12" s="38" t="s">
        <v>58</v>
      </c>
      <c r="B12" s="37"/>
      <c r="C12" s="31"/>
      <c r="D12" s="29"/>
      <c r="E12" s="29"/>
      <c r="F12" s="16"/>
      <c r="G12" s="15"/>
    </row>
    <row r="13" spans="1:8" ht="15.5" x14ac:dyDescent="0.4">
      <c r="A13" s="29"/>
      <c r="B13" s="37" t="s">
        <v>2</v>
      </c>
      <c r="C13" s="29" t="s">
        <v>3</v>
      </c>
      <c r="D13" s="29"/>
      <c r="E13" s="29"/>
      <c r="F13" s="16"/>
      <c r="G13" s="15"/>
    </row>
    <row r="14" spans="1:8" ht="15.5" x14ac:dyDescent="0.4">
      <c r="A14" s="29"/>
      <c r="B14" s="37" t="s">
        <v>4</v>
      </c>
      <c r="C14" s="29" t="s">
        <v>5</v>
      </c>
      <c r="D14" s="29"/>
      <c r="E14" s="29"/>
      <c r="F14" s="16"/>
      <c r="G14" s="15"/>
    </row>
    <row r="15" spans="1:8" x14ac:dyDescent="0.25">
      <c r="A15" s="29"/>
      <c r="B15" s="37" t="s">
        <v>6</v>
      </c>
      <c r="C15" s="29" t="s">
        <v>7</v>
      </c>
      <c r="D15" s="29"/>
      <c r="E15" s="29"/>
      <c r="F15" s="16"/>
      <c r="G15" s="15"/>
    </row>
    <row r="16" spans="1:8" x14ac:dyDescent="0.25">
      <c r="A16" s="29"/>
      <c r="B16" s="29"/>
      <c r="C16" s="29"/>
      <c r="D16" s="29"/>
      <c r="E16" s="29"/>
      <c r="F16" s="16"/>
      <c r="G16" s="15"/>
    </row>
    <row r="17" spans="1:9" ht="13" x14ac:dyDescent="0.3">
      <c r="A17" s="39" t="s">
        <v>8</v>
      </c>
      <c r="B17" s="40" t="s">
        <v>9</v>
      </c>
      <c r="C17" s="29"/>
      <c r="D17" s="29"/>
      <c r="E17" s="29"/>
      <c r="F17" s="16"/>
      <c r="G17" s="15"/>
    </row>
    <row r="18" spans="1:9" ht="13" x14ac:dyDescent="0.3">
      <c r="A18" s="29"/>
      <c r="B18" s="29"/>
      <c r="C18" s="37" t="s">
        <v>10</v>
      </c>
      <c r="D18" s="41" t="s">
        <v>50</v>
      </c>
      <c r="E18" s="29"/>
      <c r="F18" s="16"/>
      <c r="G18" s="15"/>
    </row>
    <row r="19" spans="1:9" ht="13" x14ac:dyDescent="0.3">
      <c r="A19" s="29"/>
      <c r="B19" s="29"/>
      <c r="C19" s="38" t="s">
        <v>75</v>
      </c>
      <c r="D19" s="42">
        <v>1</v>
      </c>
      <c r="E19" s="29" t="s">
        <v>11</v>
      </c>
      <c r="F19" s="16"/>
      <c r="G19" s="15"/>
    </row>
    <row r="20" spans="1:9" ht="13" x14ac:dyDescent="0.3">
      <c r="A20" s="29"/>
      <c r="B20" s="29"/>
      <c r="C20" s="38" t="s">
        <v>56</v>
      </c>
      <c r="D20" s="42">
        <v>0</v>
      </c>
      <c r="E20" s="29" t="s">
        <v>11</v>
      </c>
      <c r="F20" s="16"/>
      <c r="G20" s="15"/>
      <c r="H20" s="11"/>
      <c r="I20" s="2"/>
    </row>
    <row r="21" spans="1:9" ht="13" x14ac:dyDescent="0.3">
      <c r="A21" s="43"/>
      <c r="B21" s="43"/>
      <c r="C21" s="38" t="s">
        <v>76</v>
      </c>
      <c r="D21" s="42">
        <v>0.6</v>
      </c>
      <c r="E21" s="29" t="s">
        <v>11</v>
      </c>
      <c r="F21" s="16"/>
      <c r="G21" s="15"/>
      <c r="H21" s="11"/>
      <c r="I21" s="2"/>
    </row>
    <row r="22" spans="1:9" ht="13" x14ac:dyDescent="0.3">
      <c r="A22" s="43"/>
      <c r="B22" s="43"/>
      <c r="C22" s="38" t="s">
        <v>57</v>
      </c>
      <c r="D22" s="44">
        <f>$D$21/$D$19</f>
        <v>0.6</v>
      </c>
      <c r="E22" s="29"/>
      <c r="F22" s="16"/>
      <c r="G22" s="15"/>
      <c r="H22" s="11"/>
      <c r="I22" s="2"/>
    </row>
    <row r="23" spans="1:9" ht="13" x14ac:dyDescent="0.3">
      <c r="A23" s="29"/>
      <c r="B23" s="29"/>
      <c r="C23" s="37" t="s">
        <v>6</v>
      </c>
      <c r="D23" s="45">
        <f>VLOOKUP('Loading Calcs'!D18,rainfall!A2:B9,2)</f>
        <v>32</v>
      </c>
      <c r="E23" s="29" t="s">
        <v>12</v>
      </c>
      <c r="F23" s="16"/>
      <c r="G23" s="15"/>
    </row>
    <row r="24" spans="1:9" ht="5.15" customHeight="1" x14ac:dyDescent="0.35">
      <c r="A24" s="46"/>
      <c r="B24" s="46"/>
      <c r="C24" s="29"/>
      <c r="D24" s="47"/>
      <c r="E24" s="29"/>
      <c r="F24" s="18"/>
      <c r="G24" s="20"/>
    </row>
    <row r="25" spans="1:9" ht="16" x14ac:dyDescent="0.4">
      <c r="A25" s="46"/>
      <c r="B25" s="46"/>
      <c r="C25" s="38" t="s">
        <v>2</v>
      </c>
      <c r="D25" s="48">
        <f>27.2*($D$21-$D$20)*$D$23</f>
        <v>522.24</v>
      </c>
      <c r="E25" s="31" t="s">
        <v>74</v>
      </c>
      <c r="F25" s="22"/>
      <c r="G25" s="15"/>
    </row>
    <row r="26" spans="1:9" ht="10" customHeight="1" x14ac:dyDescent="0.35">
      <c r="A26" s="31"/>
      <c r="B26" s="31"/>
      <c r="C26" s="37"/>
      <c r="D26" s="48"/>
      <c r="E26" s="29"/>
      <c r="F26" s="18"/>
      <c r="G26" s="20"/>
    </row>
    <row r="27" spans="1:9" ht="15.5" x14ac:dyDescent="0.35">
      <c r="A27" s="29"/>
      <c r="B27" s="29"/>
      <c r="C27" s="37" t="s">
        <v>13</v>
      </c>
      <c r="D27" s="49">
        <v>1</v>
      </c>
      <c r="E27" s="29"/>
      <c r="F27" s="18"/>
      <c r="G27" s="20"/>
    </row>
    <row r="28" spans="1:9" ht="15.5" x14ac:dyDescent="0.35">
      <c r="A28" s="31"/>
      <c r="B28" s="31"/>
      <c r="C28" s="29"/>
      <c r="D28" s="29"/>
      <c r="E28" s="29"/>
      <c r="F28" s="23"/>
      <c r="G28" s="20"/>
    </row>
    <row r="29" spans="1:9" ht="13" x14ac:dyDescent="0.3">
      <c r="A29" s="36" t="s">
        <v>80</v>
      </c>
      <c r="B29" s="36"/>
      <c r="C29" s="29"/>
      <c r="D29" s="29"/>
      <c r="E29" s="29"/>
      <c r="F29" s="16"/>
      <c r="G29" s="15"/>
    </row>
    <row r="30" spans="1:9" x14ac:dyDescent="0.25">
      <c r="A30" s="31"/>
      <c r="B30" s="31"/>
      <c r="C30" s="29"/>
      <c r="D30" s="29"/>
      <c r="E30" s="29"/>
      <c r="F30" s="16"/>
      <c r="G30" s="15"/>
    </row>
    <row r="31" spans="1:9" ht="13" x14ac:dyDescent="0.3">
      <c r="A31" s="29"/>
      <c r="B31" s="29"/>
      <c r="C31" s="32" t="s">
        <v>14</v>
      </c>
      <c r="D31" s="49">
        <v>1</v>
      </c>
      <c r="E31" s="29"/>
      <c r="F31" s="16"/>
      <c r="G31" s="15"/>
    </row>
    <row r="32" spans="1:9" ht="10" customHeight="1" x14ac:dyDescent="0.25">
      <c r="A32" s="43"/>
      <c r="B32" s="43"/>
      <c r="C32" s="29"/>
      <c r="D32" s="29"/>
      <c r="E32" s="29"/>
      <c r="F32" s="16"/>
      <c r="G32" s="15"/>
    </row>
    <row r="33" spans="1:11" ht="13" x14ac:dyDescent="0.3">
      <c r="A33" s="29"/>
      <c r="B33" s="29"/>
      <c r="C33" s="37" t="s">
        <v>15</v>
      </c>
      <c r="D33" s="42">
        <v>8</v>
      </c>
      <c r="E33" s="29" t="s">
        <v>11</v>
      </c>
      <c r="F33" s="16"/>
      <c r="G33" s="15"/>
    </row>
    <row r="34" spans="1:11" ht="13" x14ac:dyDescent="0.3">
      <c r="A34" s="29"/>
      <c r="B34" s="29"/>
      <c r="C34" s="37" t="s">
        <v>16</v>
      </c>
      <c r="D34" s="42">
        <v>0</v>
      </c>
      <c r="E34" s="29" t="s">
        <v>11</v>
      </c>
      <c r="F34" s="16"/>
      <c r="G34" s="24"/>
      <c r="H34" s="2"/>
    </row>
    <row r="35" spans="1:11" ht="13" x14ac:dyDescent="0.3">
      <c r="A35" s="43"/>
      <c r="B35" s="43"/>
      <c r="C35" s="37" t="s">
        <v>17</v>
      </c>
      <c r="D35" s="42">
        <v>6</v>
      </c>
      <c r="E35" s="29" t="s">
        <v>11</v>
      </c>
      <c r="F35" s="16"/>
      <c r="G35" s="24"/>
      <c r="H35" s="2"/>
    </row>
    <row r="36" spans="1:11" ht="13" x14ac:dyDescent="0.3">
      <c r="A36" s="43"/>
      <c r="B36" s="43"/>
      <c r="C36" s="37" t="s">
        <v>18</v>
      </c>
      <c r="D36" s="44">
        <f>$D$35/$D$33</f>
        <v>0.75</v>
      </c>
      <c r="E36" s="29"/>
      <c r="F36" s="16"/>
      <c r="G36" s="24"/>
      <c r="H36" s="2"/>
    </row>
    <row r="37" spans="1:11" ht="15.5" x14ac:dyDescent="0.4">
      <c r="A37" s="43"/>
      <c r="B37" s="43"/>
      <c r="C37" s="37" t="s">
        <v>19</v>
      </c>
      <c r="D37" s="50">
        <f>27.2*($D$35-$D$34)*$D$23</f>
        <v>5222.3999999999996</v>
      </c>
      <c r="E37" s="31" t="s">
        <v>74</v>
      </c>
      <c r="F37" s="22"/>
      <c r="G37" s="15"/>
      <c r="H37" s="2"/>
    </row>
    <row r="38" spans="1:11" ht="13" x14ac:dyDescent="0.3">
      <c r="A38" s="51"/>
      <c r="B38" s="51"/>
      <c r="C38" s="29"/>
      <c r="D38" s="52"/>
      <c r="E38" s="29"/>
      <c r="F38" s="16"/>
      <c r="G38" s="15"/>
    </row>
    <row r="39" spans="1:11" ht="13" x14ac:dyDescent="0.3">
      <c r="A39" s="36" t="s">
        <v>83</v>
      </c>
      <c r="B39" s="36"/>
      <c r="C39" s="37"/>
      <c r="D39" s="52"/>
      <c r="E39" s="29"/>
      <c r="F39" s="16"/>
      <c r="G39" s="15"/>
    </row>
    <row r="40" spans="1:11" ht="13" x14ac:dyDescent="0.3">
      <c r="A40" s="29"/>
      <c r="B40" s="29"/>
      <c r="C40" s="37"/>
      <c r="D40" s="52"/>
      <c r="E40" s="29"/>
      <c r="F40" s="16"/>
      <c r="G40" s="15"/>
    </row>
    <row r="41" spans="1:11" ht="13" x14ac:dyDescent="0.3">
      <c r="A41" s="29"/>
      <c r="B41" s="29"/>
      <c r="C41" s="38" t="s">
        <v>20</v>
      </c>
      <c r="D41" s="103" t="s">
        <v>128</v>
      </c>
      <c r="E41" s="31"/>
      <c r="F41" s="16"/>
      <c r="G41" s="17"/>
    </row>
    <row r="42" spans="1:11" ht="13" x14ac:dyDescent="0.3">
      <c r="A42" s="29"/>
      <c r="B42" s="29"/>
      <c r="C42" s="38" t="s">
        <v>21</v>
      </c>
      <c r="D42" s="48">
        <v>78</v>
      </c>
      <c r="E42" s="31" t="s">
        <v>22</v>
      </c>
      <c r="F42" s="118" t="s">
        <v>161</v>
      </c>
      <c r="G42" s="17" t="s">
        <v>129</v>
      </c>
    </row>
    <row r="43" spans="1:11" ht="13" x14ac:dyDescent="0.3">
      <c r="A43" s="29"/>
      <c r="B43" s="29"/>
      <c r="C43" s="38"/>
      <c r="D43" s="48"/>
      <c r="E43" s="31"/>
      <c r="F43" s="16"/>
      <c r="G43" s="15"/>
    </row>
    <row r="44" spans="1:11" ht="15" x14ac:dyDescent="0.4">
      <c r="A44" s="36" t="s">
        <v>77</v>
      </c>
      <c r="B44" s="36"/>
      <c r="C44" s="37"/>
      <c r="D44" s="54"/>
      <c r="E44" s="29"/>
      <c r="F44" s="16"/>
      <c r="G44" s="15"/>
    </row>
    <row r="45" spans="1:11" ht="13" x14ac:dyDescent="0.3">
      <c r="A45" s="31"/>
      <c r="B45" s="31"/>
      <c r="C45" s="38"/>
      <c r="D45" s="54"/>
      <c r="E45" s="31"/>
      <c r="F45" s="16"/>
      <c r="G45" s="17"/>
      <c r="K45" s="9"/>
    </row>
    <row r="46" spans="1:11" x14ac:dyDescent="0.25">
      <c r="A46" s="31"/>
      <c r="B46" s="31"/>
      <c r="C46" s="102" t="s">
        <v>61</v>
      </c>
      <c r="D46" s="31"/>
      <c r="E46" s="31"/>
      <c r="F46" s="16"/>
      <c r="G46" s="17"/>
      <c r="K46" s="9"/>
    </row>
    <row r="47" spans="1:11" ht="15.5" x14ac:dyDescent="0.4">
      <c r="A47" s="31"/>
      <c r="B47" s="31"/>
      <c r="C47" s="55" t="s">
        <v>62</v>
      </c>
      <c r="D47" s="54"/>
      <c r="E47" s="31"/>
      <c r="F47" s="16"/>
      <c r="G47" s="17"/>
      <c r="K47" s="9"/>
    </row>
    <row r="48" spans="1:11" x14ac:dyDescent="0.25">
      <c r="A48" s="38" t="s">
        <v>58</v>
      </c>
      <c r="B48" s="38"/>
      <c r="C48" s="29"/>
      <c r="D48" s="29"/>
      <c r="E48" s="29"/>
      <c r="F48" s="16"/>
      <c r="G48" s="17"/>
      <c r="H48" s="9"/>
      <c r="I48" s="9"/>
      <c r="J48" s="9"/>
      <c r="K48" s="9"/>
    </row>
    <row r="49" spans="1:11" ht="15.5" x14ac:dyDescent="0.4">
      <c r="A49" s="38"/>
      <c r="B49" s="37" t="s">
        <v>23</v>
      </c>
      <c r="C49" s="55" t="s">
        <v>24</v>
      </c>
      <c r="D49" s="31"/>
      <c r="E49" s="29"/>
      <c r="F49" s="16"/>
      <c r="G49" s="17"/>
      <c r="H49" s="9"/>
      <c r="I49" s="9"/>
      <c r="J49" s="9"/>
      <c r="K49" s="9"/>
    </row>
    <row r="50" spans="1:11" ht="15.5" x14ac:dyDescent="0.4">
      <c r="A50" s="38"/>
      <c r="B50" s="38" t="s">
        <v>25</v>
      </c>
      <c r="C50" s="56" t="s">
        <v>26</v>
      </c>
      <c r="D50" s="31"/>
      <c r="E50" s="29"/>
      <c r="F50" s="16"/>
      <c r="G50" s="17"/>
      <c r="H50" s="9"/>
      <c r="I50" s="9"/>
      <c r="J50" s="9"/>
      <c r="K50" s="9"/>
    </row>
    <row r="51" spans="1:11" ht="15.5" x14ac:dyDescent="0.4">
      <c r="A51" s="38"/>
      <c r="B51" s="38" t="s">
        <v>27</v>
      </c>
      <c r="C51" s="56" t="s">
        <v>28</v>
      </c>
      <c r="D51" s="31"/>
      <c r="E51" s="29"/>
      <c r="F51" s="16"/>
      <c r="G51" s="17"/>
      <c r="H51" s="9"/>
      <c r="I51" s="9"/>
      <c r="J51" s="9"/>
      <c r="K51" s="9"/>
    </row>
    <row r="52" spans="1:11" ht="15.5" x14ac:dyDescent="0.4">
      <c r="A52" s="38"/>
      <c r="B52" s="38" t="s">
        <v>29</v>
      </c>
      <c r="C52" s="31" t="s">
        <v>30</v>
      </c>
      <c r="D52" s="31"/>
      <c r="E52" s="29"/>
      <c r="F52" s="16"/>
      <c r="G52" s="15"/>
      <c r="H52" s="9"/>
      <c r="I52" s="9"/>
      <c r="J52" s="9"/>
      <c r="K52" s="9"/>
    </row>
    <row r="53" spans="1:11" x14ac:dyDescent="0.25">
      <c r="A53" s="38"/>
      <c r="B53" s="38"/>
      <c r="C53" s="31"/>
      <c r="D53" s="31"/>
      <c r="E53" s="29"/>
      <c r="F53" s="16"/>
      <c r="G53" s="15"/>
      <c r="H53" s="9"/>
      <c r="I53" s="9"/>
      <c r="J53" s="9"/>
      <c r="K53" s="9"/>
    </row>
    <row r="54" spans="1:11" ht="15.5" x14ac:dyDescent="0.4">
      <c r="A54" s="38"/>
      <c r="B54" s="38"/>
      <c r="C54" s="37" t="s">
        <v>23</v>
      </c>
      <c r="D54" s="42">
        <v>8</v>
      </c>
      <c r="E54" s="31" t="s">
        <v>11</v>
      </c>
      <c r="F54" s="16"/>
      <c r="G54" s="17"/>
      <c r="H54" s="9"/>
      <c r="I54" s="9"/>
      <c r="J54" s="9"/>
      <c r="K54" s="9"/>
    </row>
    <row r="55" spans="1:11" ht="15.5" x14ac:dyDescent="0.4">
      <c r="A55" s="38"/>
      <c r="B55" s="38"/>
      <c r="C55" s="38" t="s">
        <v>25</v>
      </c>
      <c r="D55" s="42">
        <v>6</v>
      </c>
      <c r="E55" s="31" t="s">
        <v>11</v>
      </c>
      <c r="F55" s="16"/>
      <c r="G55" s="17"/>
      <c r="H55" s="9"/>
      <c r="I55" s="9"/>
      <c r="J55" s="9"/>
      <c r="K55" s="9"/>
    </row>
    <row r="56" spans="1:11" ht="15.5" x14ac:dyDescent="0.4">
      <c r="A56" s="38"/>
      <c r="B56" s="38"/>
      <c r="C56" s="38" t="s">
        <v>27</v>
      </c>
      <c r="D56" s="54">
        <f>+$D$54-$D$55</f>
        <v>2</v>
      </c>
      <c r="E56" s="31" t="s">
        <v>11</v>
      </c>
      <c r="F56" s="16"/>
      <c r="G56" s="17"/>
      <c r="H56" s="9"/>
      <c r="I56" s="9"/>
      <c r="J56" s="9"/>
      <c r="K56" s="9"/>
    </row>
    <row r="57" spans="1:11" ht="15.5" x14ac:dyDescent="0.4">
      <c r="A57" s="38"/>
      <c r="B57" s="38"/>
      <c r="C57" s="38" t="s">
        <v>29</v>
      </c>
      <c r="D57" s="50">
        <f>($D$42/100)*$D$23*($D$55*34.6+$D$56*0.54)</f>
        <v>5208.6528000000008</v>
      </c>
      <c r="E57" s="31" t="s">
        <v>74</v>
      </c>
      <c r="F57" s="22"/>
      <c r="G57" s="17"/>
      <c r="H57" s="9"/>
      <c r="I57" s="9"/>
      <c r="J57" s="9"/>
      <c r="K57" s="9"/>
    </row>
    <row r="58" spans="1:11" ht="13" x14ac:dyDescent="0.3">
      <c r="A58" s="38"/>
      <c r="B58" s="38"/>
      <c r="C58" s="29"/>
      <c r="D58" s="29"/>
      <c r="E58" s="29"/>
      <c r="F58" s="22"/>
      <c r="G58" s="17"/>
      <c r="H58" s="9"/>
      <c r="I58" s="9"/>
      <c r="J58" s="9"/>
      <c r="K58" s="9"/>
    </row>
    <row r="59" spans="1:11" ht="13" x14ac:dyDescent="0.3">
      <c r="A59" s="57" t="s">
        <v>79</v>
      </c>
      <c r="B59" s="57"/>
      <c r="C59" s="29"/>
      <c r="D59" s="38" t="s">
        <v>131</v>
      </c>
      <c r="E59" s="38"/>
      <c r="F59" s="16"/>
      <c r="G59" s="17"/>
      <c r="H59" s="9"/>
      <c r="I59" s="9"/>
      <c r="J59" s="9"/>
      <c r="K59" s="9"/>
    </row>
    <row r="60" spans="1:11" ht="13" x14ac:dyDescent="0.3">
      <c r="A60" s="57"/>
      <c r="B60" s="57"/>
      <c r="C60" s="29"/>
      <c r="D60" s="29"/>
      <c r="E60" s="29"/>
      <c r="F60" s="16"/>
      <c r="G60" s="17"/>
      <c r="H60" s="9"/>
      <c r="I60" s="9"/>
      <c r="J60" s="9"/>
      <c r="K60" s="9"/>
    </row>
    <row r="61" spans="1:11" ht="15.5" x14ac:dyDescent="0.4">
      <c r="A61" s="38"/>
      <c r="B61" s="38"/>
      <c r="C61" s="37" t="s">
        <v>53</v>
      </c>
      <c r="D61" s="58">
        <v>5222</v>
      </c>
      <c r="E61" s="31" t="s">
        <v>74</v>
      </c>
      <c r="F61" s="118" t="s">
        <v>161</v>
      </c>
      <c r="G61" s="17" t="s">
        <v>149</v>
      </c>
      <c r="H61" s="9"/>
      <c r="I61" s="9"/>
      <c r="J61" s="9"/>
      <c r="K61" s="9"/>
    </row>
    <row r="62" spans="1:11" ht="5.15" customHeight="1" x14ac:dyDescent="0.3">
      <c r="A62" s="38"/>
      <c r="B62" s="38"/>
      <c r="C62" s="37"/>
      <c r="D62" s="48"/>
      <c r="E62" s="29"/>
      <c r="F62" s="16"/>
      <c r="G62" s="17"/>
      <c r="H62" s="9"/>
      <c r="I62" s="9"/>
      <c r="J62" s="9"/>
      <c r="K62" s="9"/>
    </row>
    <row r="63" spans="1:11" ht="15.5" x14ac:dyDescent="0.4">
      <c r="A63" s="36"/>
      <c r="B63" s="36"/>
      <c r="C63" s="38" t="s">
        <v>31</v>
      </c>
      <c r="D63" s="52">
        <f>$D$61/$D$57</f>
        <v>1.0025625052220795</v>
      </c>
      <c r="E63" s="29"/>
      <c r="F63" s="118" t="s">
        <v>161</v>
      </c>
      <c r="G63" s="17" t="s">
        <v>148</v>
      </c>
      <c r="H63" s="12"/>
      <c r="I63" s="12"/>
      <c r="J63" s="12"/>
      <c r="K63" s="9"/>
    </row>
    <row r="64" spans="1:11" ht="13" x14ac:dyDescent="0.3">
      <c r="A64" s="36"/>
      <c r="B64" s="36"/>
      <c r="C64" s="38"/>
      <c r="D64" s="54"/>
      <c r="E64" s="29"/>
      <c r="F64" s="22"/>
      <c r="G64" s="25"/>
      <c r="H64" s="12"/>
      <c r="I64" s="12"/>
      <c r="J64" s="12"/>
      <c r="K64" s="9"/>
    </row>
    <row r="65" spans="1:11" ht="13" x14ac:dyDescent="0.3">
      <c r="A65" s="36" t="s">
        <v>78</v>
      </c>
      <c r="B65" s="36"/>
      <c r="C65" s="38"/>
      <c r="D65" s="29"/>
      <c r="E65" s="29"/>
      <c r="F65" s="16"/>
      <c r="G65" s="17"/>
      <c r="H65" s="10"/>
      <c r="I65" s="9"/>
      <c r="J65" s="9"/>
      <c r="K65" s="9"/>
    </row>
    <row r="66" spans="1:11" x14ac:dyDescent="0.25">
      <c r="A66" s="31"/>
      <c r="B66" s="31"/>
      <c r="C66" s="38"/>
      <c r="D66" s="29"/>
      <c r="E66" s="29"/>
      <c r="F66" s="16"/>
      <c r="G66" s="17"/>
      <c r="I66" s="9"/>
      <c r="J66" s="9"/>
      <c r="K66" s="9"/>
    </row>
    <row r="67" spans="1:11" x14ac:dyDescent="0.25">
      <c r="A67" s="31"/>
      <c r="B67" s="31"/>
      <c r="C67" s="102" t="s">
        <v>63</v>
      </c>
      <c r="D67" s="29"/>
      <c r="E67" s="29"/>
      <c r="F67" s="16"/>
      <c r="G67" s="17"/>
      <c r="I67" s="9"/>
      <c r="J67" s="9"/>
      <c r="K67" s="9"/>
    </row>
    <row r="68" spans="1:11" ht="10" customHeight="1" x14ac:dyDescent="0.25">
      <c r="A68" s="31"/>
      <c r="B68" s="31"/>
      <c r="C68" s="38"/>
      <c r="D68" s="29"/>
      <c r="E68" s="31"/>
      <c r="F68" s="16"/>
      <c r="G68" s="17"/>
      <c r="H68" s="9"/>
      <c r="I68" s="9"/>
      <c r="J68" s="9"/>
      <c r="K68" s="9"/>
    </row>
    <row r="69" spans="1:11" ht="13" x14ac:dyDescent="0.3">
      <c r="A69" s="31"/>
      <c r="B69" s="31"/>
      <c r="C69" s="38" t="s">
        <v>32</v>
      </c>
      <c r="D69" s="54">
        <f>IF((VLOOKUP(ROUND(D63,2),rainfall!A13:B111,2))&lt;4.01,(VLOOKUP(ROUND(D63,2),rainfall!A13:B111,2)),"Error")</f>
        <v>4</v>
      </c>
      <c r="E69" s="31" t="s">
        <v>12</v>
      </c>
      <c r="F69" s="16"/>
      <c r="G69" s="17"/>
      <c r="H69" s="9"/>
      <c r="I69" s="9"/>
      <c r="J69" s="9"/>
      <c r="K69" s="9"/>
    </row>
    <row r="70" spans="1:11" ht="13" x14ac:dyDescent="0.3">
      <c r="A70" s="31"/>
      <c r="B70" s="31"/>
      <c r="C70" s="38" t="s">
        <v>68</v>
      </c>
      <c r="D70" s="54">
        <f>IF($D$55/$D$54&lt;0.84448,1.72*($D$55/$D$54)^3-1.97*($D$55/$D$54)^2+1.23*($D$55/$D$54)+0.02, 0.002088+0.8142*($D$55/$D$54))</f>
        <v>0.55999999999999994</v>
      </c>
      <c r="E70" s="29"/>
      <c r="F70" s="22"/>
      <c r="G70" s="17"/>
      <c r="H70" s="9"/>
      <c r="I70" s="9"/>
      <c r="J70" s="9"/>
      <c r="K70" s="9"/>
    </row>
    <row r="71" spans="1:11" ht="13" x14ac:dyDescent="0.3">
      <c r="A71" s="31"/>
      <c r="B71" s="31"/>
      <c r="C71" s="38" t="s">
        <v>33</v>
      </c>
      <c r="D71" s="50">
        <f>($D$55+$D$56)*$D$69*$D$70*43560/12</f>
        <v>65049.599999999999</v>
      </c>
      <c r="E71" s="31" t="s">
        <v>34</v>
      </c>
      <c r="F71" s="16"/>
      <c r="G71" s="17"/>
      <c r="H71" s="9"/>
      <c r="I71" s="9"/>
      <c r="J71" s="9"/>
      <c r="K71" s="9"/>
    </row>
    <row r="72" spans="1:11" ht="13" x14ac:dyDescent="0.3">
      <c r="A72" s="31"/>
      <c r="B72" s="31"/>
      <c r="C72" s="38"/>
      <c r="D72" s="48"/>
      <c r="E72" s="31"/>
      <c r="F72" s="16"/>
      <c r="G72" s="17"/>
      <c r="H72" s="9"/>
      <c r="I72" s="9"/>
      <c r="J72" s="9"/>
      <c r="K72" s="9"/>
    </row>
    <row r="73" spans="1:11" x14ac:dyDescent="0.25">
      <c r="A73" s="31"/>
      <c r="B73" s="31"/>
      <c r="C73" s="59" t="s">
        <v>64</v>
      </c>
      <c r="D73" s="29"/>
      <c r="E73" s="31"/>
      <c r="F73" s="16"/>
      <c r="G73" s="17"/>
      <c r="H73" s="9"/>
      <c r="I73" s="9"/>
      <c r="J73" s="9"/>
      <c r="K73" s="9"/>
    </row>
    <row r="74" spans="1:11" x14ac:dyDescent="0.25">
      <c r="A74" s="31"/>
      <c r="B74" s="31"/>
      <c r="C74" s="38"/>
      <c r="D74" s="29"/>
      <c r="E74" s="31"/>
      <c r="F74" s="16"/>
      <c r="G74" s="17"/>
      <c r="H74" s="9"/>
      <c r="I74" s="9"/>
      <c r="J74" s="9"/>
      <c r="K74" s="9"/>
    </row>
    <row r="75" spans="1:11" ht="13" x14ac:dyDescent="0.3">
      <c r="A75" s="31"/>
      <c r="B75" s="31"/>
      <c r="C75" s="38" t="s">
        <v>35</v>
      </c>
      <c r="D75" s="42">
        <v>0</v>
      </c>
      <c r="E75" s="31" t="s">
        <v>11</v>
      </c>
      <c r="F75" s="22"/>
      <c r="G75" s="17"/>
      <c r="I75" s="9"/>
      <c r="J75" s="9"/>
      <c r="K75" s="9"/>
    </row>
    <row r="76" spans="1:11" ht="13" x14ac:dyDescent="0.3">
      <c r="A76" s="31"/>
      <c r="B76" s="31"/>
      <c r="C76" s="38" t="s">
        <v>36</v>
      </c>
      <c r="D76" s="42">
        <v>0</v>
      </c>
      <c r="E76" s="31" t="s">
        <v>11</v>
      </c>
      <c r="F76" s="22"/>
      <c r="G76" s="17"/>
      <c r="H76" s="9"/>
      <c r="I76" s="9"/>
      <c r="J76" s="9"/>
      <c r="K76" s="9"/>
    </row>
    <row r="77" spans="1:11" ht="13" x14ac:dyDescent="0.3">
      <c r="A77" s="31"/>
      <c r="B77" s="31"/>
      <c r="C77" s="38" t="s">
        <v>37</v>
      </c>
      <c r="D77" s="60" t="str">
        <f>IF($D$75=0,"0",($D$76/$D$75))</f>
        <v>0</v>
      </c>
      <c r="E77" s="29"/>
      <c r="F77" s="16"/>
      <c r="G77" s="17"/>
      <c r="H77" s="9"/>
      <c r="I77" s="9"/>
      <c r="J77" s="9"/>
      <c r="K77" s="9"/>
    </row>
    <row r="78" spans="1:11" ht="13" x14ac:dyDescent="0.3">
      <c r="A78" s="31"/>
      <c r="B78" s="31"/>
      <c r="C78" s="37" t="s">
        <v>38</v>
      </c>
      <c r="D78" s="54">
        <f>IF($D$77&lt;0.84448,1.72*($D$77)^3-1.97*($D$77)^2+1.23*($D$77)+0.02, 0.002088+0.8142*($D$77))</f>
        <v>2.088E-3</v>
      </c>
      <c r="E78" s="29"/>
      <c r="F78" s="22"/>
      <c r="G78" s="17"/>
      <c r="H78" s="9"/>
      <c r="I78" s="9"/>
      <c r="J78" s="9"/>
      <c r="K78" s="9"/>
    </row>
    <row r="79" spans="1:11" ht="13" x14ac:dyDescent="0.3">
      <c r="A79" s="31"/>
      <c r="B79" s="31"/>
      <c r="C79" s="37" t="s">
        <v>39</v>
      </c>
      <c r="D79" s="50">
        <f>($D$75*$D$78*$D$69*43560)/12</f>
        <v>0</v>
      </c>
      <c r="E79" s="29" t="s">
        <v>34</v>
      </c>
      <c r="F79" s="16"/>
      <c r="G79" s="17"/>
      <c r="H79" s="9"/>
      <c r="I79" s="9"/>
      <c r="J79" s="9"/>
      <c r="K79" s="9"/>
    </row>
    <row r="80" spans="1:11" ht="5.15" customHeight="1" x14ac:dyDescent="0.3">
      <c r="A80" s="31"/>
      <c r="B80" s="31"/>
      <c r="C80" s="38"/>
      <c r="D80" s="48"/>
      <c r="E80" s="31"/>
      <c r="F80" s="16"/>
      <c r="G80" s="17"/>
      <c r="H80" s="9"/>
      <c r="I80" s="9"/>
      <c r="J80" s="9"/>
      <c r="K80" s="9"/>
    </row>
    <row r="81" spans="1:10" ht="15.5" x14ac:dyDescent="0.35">
      <c r="A81" s="46"/>
      <c r="B81" s="46"/>
      <c r="C81" s="38" t="s">
        <v>40</v>
      </c>
      <c r="D81" s="50">
        <f>0.2*($D$71+$D$79)</f>
        <v>13009.92</v>
      </c>
      <c r="E81" s="31" t="s">
        <v>34</v>
      </c>
      <c r="F81" s="16"/>
      <c r="G81" s="15"/>
    </row>
    <row r="82" spans="1:10" ht="15.5" x14ac:dyDescent="0.35">
      <c r="A82" s="46"/>
      <c r="B82" s="46"/>
      <c r="C82" s="39" t="s">
        <v>84</v>
      </c>
      <c r="D82" s="50">
        <f>$D$81+$D$71+$D$79</f>
        <v>78059.520000000004</v>
      </c>
      <c r="E82" s="29" t="s">
        <v>34</v>
      </c>
      <c r="F82" s="16"/>
      <c r="G82" s="15"/>
    </row>
    <row r="83" spans="1:10" ht="13" x14ac:dyDescent="0.3">
      <c r="A83" s="31"/>
      <c r="B83" s="31"/>
      <c r="C83" s="37"/>
      <c r="D83" s="54"/>
      <c r="E83" s="29"/>
      <c r="F83" s="14"/>
      <c r="G83" s="75"/>
    </row>
    <row r="84" spans="1:10" ht="13" x14ac:dyDescent="0.3">
      <c r="A84" s="36" t="s">
        <v>88</v>
      </c>
      <c r="B84" s="36"/>
      <c r="C84" s="37"/>
      <c r="D84" s="54"/>
      <c r="E84" s="29"/>
      <c r="F84" s="16"/>
      <c r="G84" s="26" t="s">
        <v>73</v>
      </c>
    </row>
    <row r="85" spans="1:10" ht="13" x14ac:dyDescent="0.3">
      <c r="A85" s="31"/>
      <c r="B85" s="31"/>
      <c r="C85" s="37"/>
      <c r="D85" s="54"/>
      <c r="E85" s="29"/>
      <c r="F85" s="22"/>
      <c r="G85" s="15"/>
    </row>
    <row r="86" spans="1:10" ht="15.5" x14ac:dyDescent="0.4">
      <c r="A86" s="104"/>
      <c r="B86" s="104"/>
      <c r="C86" s="105" t="s">
        <v>69</v>
      </c>
      <c r="D86" s="48">
        <f>D57/132</f>
        <v>39.459490909090917</v>
      </c>
      <c r="E86" s="31" t="s">
        <v>65</v>
      </c>
      <c r="F86" s="118" t="s">
        <v>161</v>
      </c>
      <c r="G86" s="17" t="s">
        <v>146</v>
      </c>
      <c r="H86" s="106"/>
    </row>
    <row r="87" spans="1:10" ht="14" x14ac:dyDescent="0.3">
      <c r="A87" s="104"/>
      <c r="B87" s="104"/>
      <c r="C87" s="105" t="s">
        <v>157</v>
      </c>
      <c r="D87" s="54">
        <f>D86*0.056</f>
        <v>2.2097314909090913</v>
      </c>
      <c r="E87" s="31" t="s">
        <v>66</v>
      </c>
      <c r="F87" s="118" t="s">
        <v>161</v>
      </c>
      <c r="G87" s="107" t="s">
        <v>130</v>
      </c>
      <c r="H87" s="106"/>
      <c r="J87" s="108"/>
    </row>
    <row r="88" spans="1:10" ht="14" x14ac:dyDescent="0.25">
      <c r="A88" s="29"/>
      <c r="B88" s="29"/>
      <c r="C88" s="109"/>
      <c r="D88" s="110"/>
      <c r="E88" s="29"/>
      <c r="F88" s="14"/>
      <c r="G88" s="75"/>
      <c r="H88" s="106"/>
    </row>
    <row r="89" spans="1:10" ht="13" x14ac:dyDescent="0.3">
      <c r="A89" s="40" t="s">
        <v>87</v>
      </c>
      <c r="C89" s="29"/>
      <c r="D89" s="29"/>
      <c r="E89" s="29"/>
      <c r="F89" s="16"/>
      <c r="G89" s="26" t="s">
        <v>147</v>
      </c>
    </row>
    <row r="90" spans="1:10" ht="5.15" customHeight="1" x14ac:dyDescent="0.3">
      <c r="A90" s="29"/>
      <c r="B90" s="40"/>
      <c r="C90" s="29"/>
      <c r="D90" s="29"/>
      <c r="E90" s="29"/>
      <c r="F90" s="16"/>
      <c r="G90" s="26"/>
    </row>
    <row r="91" spans="1:10" ht="13" x14ac:dyDescent="0.3">
      <c r="A91" s="29"/>
      <c r="B91" s="29"/>
      <c r="C91" s="38" t="s">
        <v>70</v>
      </c>
      <c r="D91" s="115">
        <v>1</v>
      </c>
      <c r="E91" s="31" t="s">
        <v>65</v>
      </c>
      <c r="F91" s="118" t="s">
        <v>161</v>
      </c>
      <c r="G91" s="17" t="s">
        <v>138</v>
      </c>
    </row>
    <row r="92" spans="1:10" ht="13" x14ac:dyDescent="0.3">
      <c r="A92" s="29"/>
      <c r="B92" s="29"/>
      <c r="C92" s="38" t="s">
        <v>71</v>
      </c>
      <c r="D92" s="48">
        <f>D86+D91</f>
        <v>40.459490909090917</v>
      </c>
      <c r="E92" s="31" t="s">
        <v>65</v>
      </c>
      <c r="F92" s="118" t="s">
        <v>161</v>
      </c>
      <c r="G92" s="17" t="s">
        <v>135</v>
      </c>
    </row>
    <row r="93" spans="1:10" ht="13" x14ac:dyDescent="0.3">
      <c r="A93" s="29"/>
      <c r="B93" s="29"/>
      <c r="C93" s="105" t="s">
        <v>158</v>
      </c>
      <c r="D93" s="54">
        <f>D92*0.056</f>
        <v>2.2657314909090913</v>
      </c>
      <c r="E93" s="31" t="s">
        <v>66</v>
      </c>
      <c r="F93" s="118" t="s">
        <v>161</v>
      </c>
      <c r="G93" s="17" t="s">
        <v>139</v>
      </c>
    </row>
    <row r="94" spans="1:10" ht="13" x14ac:dyDescent="0.3">
      <c r="A94" s="29"/>
      <c r="B94" s="29"/>
      <c r="C94" s="38" t="s">
        <v>72</v>
      </c>
      <c r="D94" s="50">
        <f>D92*132</f>
        <v>5340.6528000000008</v>
      </c>
      <c r="E94" s="31" t="s">
        <v>74</v>
      </c>
      <c r="F94" s="118" t="s">
        <v>161</v>
      </c>
      <c r="G94" s="14" t="s">
        <v>140</v>
      </c>
    </row>
    <row r="95" spans="1:10" ht="13" x14ac:dyDescent="0.3">
      <c r="A95" s="29"/>
      <c r="B95" s="29"/>
      <c r="C95" s="29"/>
      <c r="D95" s="40"/>
      <c r="E95" s="29"/>
      <c r="F95" s="14"/>
      <c r="G95" s="75"/>
    </row>
    <row r="96" spans="1:10" ht="13" x14ac:dyDescent="0.3">
      <c r="A96" s="40" t="s">
        <v>86</v>
      </c>
      <c r="C96" s="29"/>
      <c r="D96" s="40"/>
      <c r="E96" s="29"/>
      <c r="F96" s="14"/>
      <c r="G96" s="75"/>
    </row>
    <row r="97" spans="1:7" ht="13" x14ac:dyDescent="0.3">
      <c r="A97" s="29"/>
      <c r="B97" s="29"/>
      <c r="C97" s="61" t="s">
        <v>31</v>
      </c>
      <c r="D97" s="52">
        <f>D61/D94</f>
        <v>0.97778309048661605</v>
      </c>
      <c r="E97" s="29"/>
      <c r="F97" s="118" t="s">
        <v>161</v>
      </c>
      <c r="G97" s="14" t="s">
        <v>141</v>
      </c>
    </row>
    <row r="98" spans="1:7" ht="13" x14ac:dyDescent="0.3">
      <c r="A98" s="29"/>
      <c r="B98" s="29"/>
      <c r="C98" s="38" t="s">
        <v>32</v>
      </c>
      <c r="D98" s="54">
        <f>IF((VLOOKUP(ROUND(D97,2),rainfall!A13:B111,2))&lt;4.01,(VLOOKUP(ROUND(D97,2),rainfall!A13:B111,2)),"Error")</f>
        <v>3.33</v>
      </c>
      <c r="E98" s="31" t="s">
        <v>12</v>
      </c>
      <c r="F98" s="118" t="s">
        <v>161</v>
      </c>
      <c r="G98" s="14" t="s">
        <v>142</v>
      </c>
    </row>
    <row r="99" spans="1:7" ht="13" x14ac:dyDescent="0.3">
      <c r="A99" s="29"/>
      <c r="B99" s="29"/>
      <c r="C99" s="38" t="s">
        <v>33</v>
      </c>
      <c r="D99" s="50">
        <f>(D55+D56)*D98*D70*43560/12</f>
        <v>54153.791999999994</v>
      </c>
      <c r="E99" s="31" t="s">
        <v>34</v>
      </c>
      <c r="F99" s="118" t="s">
        <v>161</v>
      </c>
      <c r="G99" s="14" t="s">
        <v>143</v>
      </c>
    </row>
    <row r="100" spans="1:7" ht="13" x14ac:dyDescent="0.3">
      <c r="A100" s="29"/>
      <c r="B100" s="29"/>
      <c r="C100" s="37" t="s">
        <v>39</v>
      </c>
      <c r="D100" s="50">
        <f>D79</f>
        <v>0</v>
      </c>
      <c r="E100" s="31" t="s">
        <v>34</v>
      </c>
      <c r="F100" s="118" t="s">
        <v>161</v>
      </c>
      <c r="G100" s="27" t="s">
        <v>144</v>
      </c>
    </row>
    <row r="101" spans="1:7" ht="5.15" customHeight="1" x14ac:dyDescent="0.25">
      <c r="A101" s="29"/>
      <c r="B101" s="29"/>
      <c r="C101" s="29"/>
      <c r="D101" s="29"/>
      <c r="E101" s="29"/>
      <c r="F101" s="14"/>
      <c r="G101" s="75"/>
    </row>
    <row r="102" spans="1:7" ht="13" x14ac:dyDescent="0.3">
      <c r="A102" s="29"/>
      <c r="B102" s="29"/>
      <c r="C102" s="38" t="s">
        <v>40</v>
      </c>
      <c r="D102" s="50">
        <f>0.2*(D99+D100)</f>
        <v>10830.758399999999</v>
      </c>
      <c r="E102" s="29" t="s">
        <v>34</v>
      </c>
      <c r="F102" s="14"/>
      <c r="G102" s="75"/>
    </row>
    <row r="103" spans="1:7" ht="13" x14ac:dyDescent="0.3">
      <c r="A103" s="29"/>
      <c r="B103" s="29"/>
      <c r="C103" s="39" t="s">
        <v>84</v>
      </c>
      <c r="D103" s="62">
        <f>D102+D99+D100</f>
        <v>64984.550399999993</v>
      </c>
      <c r="E103" s="29" t="s">
        <v>34</v>
      </c>
      <c r="F103" s="14"/>
      <c r="G103" s="75"/>
    </row>
    <row r="104" spans="1:7" ht="13" x14ac:dyDescent="0.3">
      <c r="A104" s="29"/>
      <c r="B104" s="29"/>
      <c r="C104" s="39"/>
      <c r="D104" s="62"/>
      <c r="E104" s="29"/>
      <c r="F104" s="14"/>
      <c r="G104" s="75"/>
    </row>
    <row r="105" spans="1:7" x14ac:dyDescent="0.25">
      <c r="B105" s="79"/>
      <c r="D105" s="79"/>
      <c r="F105" s="14"/>
      <c r="G105" s="75"/>
    </row>
    <row r="106" spans="1:7" x14ac:dyDescent="0.25">
      <c r="A106" s="78"/>
      <c r="B106" s="79"/>
      <c r="C106" s="79"/>
      <c r="D106" s="79"/>
      <c r="E106" s="79"/>
      <c r="F106" s="14"/>
      <c r="G106" s="75"/>
    </row>
    <row r="107" spans="1:7" x14ac:dyDescent="0.25">
      <c r="A107" s="78"/>
      <c r="B107" s="79"/>
      <c r="C107" s="79"/>
      <c r="D107" s="79"/>
      <c r="E107" s="79"/>
      <c r="F107" s="14"/>
      <c r="G107" s="75"/>
    </row>
    <row r="108" spans="1:7" x14ac:dyDescent="0.25">
      <c r="A108" s="78"/>
      <c r="B108" s="79"/>
      <c r="C108" s="79"/>
      <c r="D108" s="79"/>
      <c r="E108" s="79"/>
      <c r="F108" s="14"/>
      <c r="G108" s="75"/>
    </row>
    <row r="109" spans="1:7" ht="13.5" thickBot="1" x14ac:dyDescent="0.35">
      <c r="A109" s="117" t="s">
        <v>156</v>
      </c>
      <c r="B109" s="76"/>
      <c r="C109" s="76"/>
      <c r="D109" s="76"/>
      <c r="E109" s="77"/>
      <c r="F109" s="14"/>
      <c r="G109" s="75"/>
    </row>
    <row r="110" spans="1:7" ht="13" x14ac:dyDescent="0.3">
      <c r="A110" s="36" t="s">
        <v>82</v>
      </c>
      <c r="B110" s="104"/>
      <c r="C110" s="105"/>
      <c r="D110" s="48"/>
      <c r="E110" s="29"/>
      <c r="F110" s="111"/>
      <c r="G110" s="107" t="s">
        <v>136</v>
      </c>
    </row>
    <row r="111" spans="1:7" x14ac:dyDescent="0.25">
      <c r="A111" s="29"/>
      <c r="B111" s="29"/>
      <c r="C111" s="29"/>
      <c r="D111" s="29"/>
      <c r="E111" s="29"/>
      <c r="F111" s="16"/>
      <c r="G111" s="15"/>
    </row>
    <row r="112" spans="1:7" ht="13" x14ac:dyDescent="0.3">
      <c r="A112" s="29"/>
      <c r="B112" s="29"/>
      <c r="C112" s="38" t="s">
        <v>67</v>
      </c>
      <c r="D112" s="112">
        <f>INDEX(rainfall!E13:E65,MATCH('Loading Calcs'!D97,rainfall!D13:D65))</f>
        <v>2.5000000000000013</v>
      </c>
      <c r="E112" s="31" t="s">
        <v>159</v>
      </c>
      <c r="F112" s="118" t="s">
        <v>161</v>
      </c>
      <c r="G112" s="113" t="s">
        <v>160</v>
      </c>
    </row>
    <row r="113" spans="1:7" ht="13" x14ac:dyDescent="0.3">
      <c r="A113" s="29"/>
      <c r="B113" s="29"/>
      <c r="C113" s="38" t="s">
        <v>154</v>
      </c>
      <c r="D113" s="112">
        <f>ROUND(D54*D70*D112,2)</f>
        <v>11.2</v>
      </c>
      <c r="E113" s="29" t="s">
        <v>66</v>
      </c>
      <c r="F113" s="118" t="s">
        <v>161</v>
      </c>
      <c r="G113" s="14" t="s">
        <v>137</v>
      </c>
    </row>
    <row r="114" spans="1:7" ht="13" x14ac:dyDescent="0.3">
      <c r="A114" s="29"/>
      <c r="B114" s="29"/>
      <c r="C114" s="37" t="s">
        <v>153</v>
      </c>
      <c r="D114" s="54">
        <f>ROUND(D75*D78*D112,2)</f>
        <v>0</v>
      </c>
      <c r="E114" s="31" t="s">
        <v>66</v>
      </c>
      <c r="F114" s="16"/>
      <c r="G114" s="15"/>
    </row>
    <row r="115" spans="1:7" ht="13" x14ac:dyDescent="0.3">
      <c r="A115" s="29"/>
      <c r="B115" s="29"/>
      <c r="C115" s="38" t="s">
        <v>155</v>
      </c>
      <c r="D115" s="54">
        <f>D113+D114</f>
        <v>11.2</v>
      </c>
      <c r="E115" s="116" t="s">
        <v>66</v>
      </c>
      <c r="F115" s="16"/>
      <c r="G115" s="113"/>
    </row>
    <row r="116" spans="1:7" x14ac:dyDescent="0.25">
      <c r="B116" s="29"/>
      <c r="C116" s="29"/>
      <c r="D116" s="29"/>
      <c r="E116" s="29"/>
      <c r="F116" s="16"/>
      <c r="G116" s="15"/>
    </row>
    <row r="117" spans="1:7" ht="13" x14ac:dyDescent="0.3">
      <c r="A117" s="29"/>
      <c r="B117" s="29"/>
      <c r="C117" s="37" t="s">
        <v>151</v>
      </c>
      <c r="D117" s="112">
        <f>ROUND(D92*0.056,2)</f>
        <v>2.27</v>
      </c>
      <c r="E117" s="29" t="s">
        <v>66</v>
      </c>
      <c r="F117" s="118" t="s">
        <v>161</v>
      </c>
      <c r="G117" s="113" t="s">
        <v>130</v>
      </c>
    </row>
    <row r="118" spans="1:7" ht="13" x14ac:dyDescent="0.3">
      <c r="A118" s="29"/>
      <c r="B118" s="29"/>
      <c r="C118" s="114" t="s">
        <v>152</v>
      </c>
      <c r="D118" s="112" t="str">
        <f>IF(D117&gt;D115,"No","Yes")</f>
        <v>Yes</v>
      </c>
      <c r="E118" s="31"/>
      <c r="F118" s="118" t="s">
        <v>161</v>
      </c>
      <c r="G118" s="17" t="s">
        <v>162</v>
      </c>
    </row>
    <row r="119" spans="1:7" x14ac:dyDescent="0.25">
      <c r="A119" s="29"/>
    </row>
  </sheetData>
  <sheetProtection selectLockedCells="1"/>
  <phoneticPr fontId="0" type="noConversion"/>
  <conditionalFormatting sqref="D97">
    <cfRule type="cellIs" dxfId="1" priority="2" operator="greaterThan">
      <formula>1</formula>
    </cfRule>
  </conditionalFormatting>
  <conditionalFormatting sqref="D118">
    <cfRule type="cellIs" dxfId="0" priority="1" operator="equal">
      <formula>"No"</formula>
    </cfRule>
  </conditionalFormatting>
  <dataValidations disablePrompts="1" count="1">
    <dataValidation type="list" allowBlank="1" showInputMessage="1" showErrorMessage="1" sqref="D18" xr:uid="{00000000-0002-0000-0000-000000000000}">
      <formula1>Location</formula1>
    </dataValidation>
  </dataValidations>
  <pageMargins left="0.75" right="0.75" top="1" bottom="1"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1"/>
  <sheetViews>
    <sheetView topLeftCell="A7" workbookViewId="0">
      <selection activeCell="N32" activeCellId="2" sqref="D13:E65 K33 N32"/>
    </sheetView>
  </sheetViews>
  <sheetFormatPr defaultRowHeight="12.5" x14ac:dyDescent="0.25"/>
  <cols>
    <col min="1" max="1" width="21.54296875" customWidth="1"/>
    <col min="2" max="2" width="12.7265625" customWidth="1"/>
    <col min="4" max="4" width="22.54296875" customWidth="1"/>
    <col min="5" max="5" width="17.81640625" customWidth="1"/>
  </cols>
  <sheetData>
    <row r="1" spans="1:5" x14ac:dyDescent="0.25">
      <c r="A1" t="s">
        <v>41</v>
      </c>
      <c r="B1" t="s">
        <v>42</v>
      </c>
      <c r="E1" s="1"/>
    </row>
    <row r="2" spans="1:5" ht="15.5" x14ac:dyDescent="0.25">
      <c r="A2" s="5" t="s">
        <v>43</v>
      </c>
      <c r="B2" s="6">
        <v>30</v>
      </c>
      <c r="E2" s="1"/>
    </row>
    <row r="3" spans="1:5" ht="15.5" x14ac:dyDescent="0.25">
      <c r="A3" s="5" t="s">
        <v>44</v>
      </c>
      <c r="B3" s="6">
        <v>33</v>
      </c>
      <c r="E3" s="1"/>
    </row>
    <row r="4" spans="1:5" ht="15.5" x14ac:dyDescent="0.25">
      <c r="A4" s="5" t="s">
        <v>45</v>
      </c>
      <c r="B4" s="6">
        <v>33</v>
      </c>
      <c r="E4" s="1"/>
    </row>
    <row r="5" spans="1:5" ht="15.5" x14ac:dyDescent="0.25">
      <c r="A5" s="5" t="s">
        <v>46</v>
      </c>
      <c r="B5" s="6">
        <v>22</v>
      </c>
      <c r="E5" s="1"/>
    </row>
    <row r="6" spans="1:5" ht="15.5" x14ac:dyDescent="0.25">
      <c r="A6" s="5" t="s">
        <v>47</v>
      </c>
      <c r="B6" s="6">
        <v>28</v>
      </c>
      <c r="E6" s="1"/>
    </row>
    <row r="7" spans="1:5" ht="15.5" x14ac:dyDescent="0.25">
      <c r="A7" s="5" t="s">
        <v>48</v>
      </c>
      <c r="B7" s="6">
        <v>32</v>
      </c>
      <c r="E7" s="1"/>
    </row>
    <row r="8" spans="1:5" ht="15.5" x14ac:dyDescent="0.25">
      <c r="A8" s="5" t="s">
        <v>49</v>
      </c>
      <c r="B8" s="6">
        <v>25</v>
      </c>
      <c r="E8" s="1"/>
    </row>
    <row r="9" spans="1:5" ht="16" thickBot="1" x14ac:dyDescent="0.3">
      <c r="A9" s="7" t="s">
        <v>50</v>
      </c>
      <c r="B9" s="8">
        <v>32</v>
      </c>
      <c r="E9" s="1"/>
    </row>
    <row r="10" spans="1:5" x14ac:dyDescent="0.25">
      <c r="E10" s="1"/>
    </row>
    <row r="11" spans="1:5" x14ac:dyDescent="0.25">
      <c r="E11" s="1"/>
    </row>
    <row r="12" spans="1:5" x14ac:dyDescent="0.25">
      <c r="A12" t="s">
        <v>51</v>
      </c>
      <c r="B12" t="s">
        <v>52</v>
      </c>
      <c r="D12" s="13" t="s">
        <v>51</v>
      </c>
      <c r="E12" s="13" t="s">
        <v>54</v>
      </c>
    </row>
    <row r="13" spans="1:5" x14ac:dyDescent="0.25">
      <c r="A13" s="3">
        <v>7.9999999999999252E-2</v>
      </c>
      <c r="B13" s="3">
        <v>0.04</v>
      </c>
      <c r="D13" s="3">
        <v>0.11</v>
      </c>
      <c r="E13" s="3">
        <v>2.5000000000000001E-2</v>
      </c>
    </row>
    <row r="14" spans="1:5" x14ac:dyDescent="0.25">
      <c r="A14" s="3">
        <v>8.9999999999999247E-2</v>
      </c>
      <c r="B14" s="3">
        <v>4.5999999999999951E-2</v>
      </c>
      <c r="D14" s="3">
        <v>0.22500000000000001</v>
      </c>
      <c r="E14" s="3">
        <v>0.05</v>
      </c>
    </row>
    <row r="15" spans="1:5" x14ac:dyDescent="0.25">
      <c r="A15" s="3">
        <v>9.9999999999999242E-2</v>
      </c>
      <c r="B15" s="3">
        <v>5.1999999999999949E-2</v>
      </c>
      <c r="D15" s="3">
        <v>0.33500000000000002</v>
      </c>
      <c r="E15" s="3">
        <v>7.4999999999999997E-2</v>
      </c>
    </row>
    <row r="16" spans="1:5" x14ac:dyDescent="0.25">
      <c r="A16" s="3">
        <v>0.10999999999999924</v>
      </c>
      <c r="B16" s="3">
        <v>5.7999999999999947E-2</v>
      </c>
      <c r="D16" s="3">
        <v>0.45</v>
      </c>
      <c r="E16" s="3">
        <v>0.1</v>
      </c>
    </row>
    <row r="17" spans="1:5" x14ac:dyDescent="0.25">
      <c r="A17" s="3">
        <v>0.11999999999999923</v>
      </c>
      <c r="B17" s="3">
        <v>6.3999999999999946E-2</v>
      </c>
      <c r="D17" s="3">
        <v>0.48199999999999998</v>
      </c>
      <c r="E17" s="3">
        <v>0.12000000000000001</v>
      </c>
    </row>
    <row r="18" spans="1:5" x14ac:dyDescent="0.25">
      <c r="A18" s="3">
        <v>0.12999999999999923</v>
      </c>
      <c r="B18" s="3">
        <v>6.9999999999999951E-2</v>
      </c>
      <c r="D18" s="3">
        <v>0.51400000000000001</v>
      </c>
      <c r="E18" s="3">
        <v>0.14000000000000001</v>
      </c>
    </row>
    <row r="19" spans="1:5" x14ac:dyDescent="0.25">
      <c r="A19" s="3">
        <v>0.13999999999999924</v>
      </c>
      <c r="B19" s="3">
        <v>7.5999999999999956E-2</v>
      </c>
      <c r="D19" s="3">
        <v>0.54600000000000004</v>
      </c>
      <c r="E19" s="3">
        <v>0.16</v>
      </c>
    </row>
    <row r="20" spans="1:5" x14ac:dyDescent="0.25">
      <c r="A20" s="3">
        <v>0.14999999999999925</v>
      </c>
      <c r="B20" s="3">
        <v>8.1999999999999962E-2</v>
      </c>
      <c r="D20" s="3">
        <v>0.57799999999999996</v>
      </c>
      <c r="E20" s="3">
        <v>0.18</v>
      </c>
    </row>
    <row r="21" spans="1:5" x14ac:dyDescent="0.25">
      <c r="A21" s="3">
        <v>0.15999999999999925</v>
      </c>
      <c r="B21" s="3">
        <v>8.7999999999999967E-2</v>
      </c>
      <c r="D21" s="3">
        <v>0.61</v>
      </c>
      <c r="E21" s="3">
        <v>0.19999999999999998</v>
      </c>
    </row>
    <row r="22" spans="1:5" x14ac:dyDescent="0.25">
      <c r="A22" s="3">
        <v>0.16999999999999926</v>
      </c>
      <c r="B22" s="3">
        <v>9.3999999999999972E-2</v>
      </c>
      <c r="D22" s="3">
        <v>0.62066666666666659</v>
      </c>
      <c r="E22" s="3">
        <v>0.21999999999999997</v>
      </c>
    </row>
    <row r="23" spans="1:5" x14ac:dyDescent="0.25">
      <c r="A23" s="3">
        <v>0.17999999999999927</v>
      </c>
      <c r="B23" s="3">
        <v>0.1</v>
      </c>
      <c r="D23" s="3">
        <v>0.6313333333333333</v>
      </c>
      <c r="E23" s="3">
        <v>0.23999999999999996</v>
      </c>
    </row>
    <row r="24" spans="1:5" x14ac:dyDescent="0.25">
      <c r="A24" s="3">
        <v>0.18999999999999928</v>
      </c>
      <c r="B24" s="3">
        <v>0.10714285714285712</v>
      </c>
      <c r="D24" s="3">
        <v>0.6419999999999999</v>
      </c>
      <c r="E24" s="3">
        <v>0.25999999999999995</v>
      </c>
    </row>
    <row r="25" spans="1:5" x14ac:dyDescent="0.25">
      <c r="A25" s="3">
        <v>0.19999999999999929</v>
      </c>
      <c r="B25" s="3">
        <v>0.11428571428571427</v>
      </c>
      <c r="D25" s="3">
        <v>0.65266666666666662</v>
      </c>
      <c r="E25" s="3">
        <v>0.27999999999999997</v>
      </c>
    </row>
    <row r="26" spans="1:5" x14ac:dyDescent="0.25">
      <c r="A26" s="3">
        <v>0.2099999999999993</v>
      </c>
      <c r="B26" s="3">
        <v>0.12142857142857141</v>
      </c>
      <c r="D26" s="3">
        <v>0.66333333333333333</v>
      </c>
      <c r="E26" s="3">
        <v>0.3</v>
      </c>
    </row>
    <row r="27" spans="1:5" x14ac:dyDescent="0.25">
      <c r="A27" s="3">
        <v>0.21999999999999931</v>
      </c>
      <c r="B27" s="3">
        <v>0.12857142857142856</v>
      </c>
      <c r="D27" s="3">
        <v>0.67400000000000004</v>
      </c>
      <c r="E27" s="3">
        <v>0.32</v>
      </c>
    </row>
    <row r="28" spans="1:5" x14ac:dyDescent="0.25">
      <c r="A28" s="3">
        <v>0.22999999999999932</v>
      </c>
      <c r="B28" s="3">
        <v>0.1357142857142857</v>
      </c>
      <c r="D28" s="3">
        <v>0.68466666666666665</v>
      </c>
      <c r="E28" s="3">
        <v>0.34</v>
      </c>
    </row>
    <row r="29" spans="1:5" x14ac:dyDescent="0.25">
      <c r="A29" s="3">
        <v>0.23999999999999932</v>
      </c>
      <c r="B29" s="3">
        <v>0.14285714285714285</v>
      </c>
      <c r="D29" s="3">
        <v>0.69533333333333336</v>
      </c>
      <c r="E29" s="3">
        <v>0.36000000000000004</v>
      </c>
    </row>
    <row r="30" spans="1:5" x14ac:dyDescent="0.25">
      <c r="A30" s="3">
        <v>0.24999999999999933</v>
      </c>
      <c r="B30">
        <v>0.15</v>
      </c>
      <c r="D30" s="3">
        <v>0.70600000000000007</v>
      </c>
      <c r="E30" s="3">
        <v>0.38000000000000006</v>
      </c>
    </row>
    <row r="31" spans="1:5" x14ac:dyDescent="0.25">
      <c r="A31" s="3">
        <v>0.25999999999999934</v>
      </c>
      <c r="B31" s="3">
        <v>0.15833333333333335</v>
      </c>
      <c r="D31" s="3">
        <v>0.71666666666666667</v>
      </c>
      <c r="E31" s="3">
        <v>0.40000000000000008</v>
      </c>
    </row>
    <row r="32" spans="1:5" x14ac:dyDescent="0.25">
      <c r="A32" s="3">
        <v>0.26999999999999935</v>
      </c>
      <c r="B32" s="3">
        <v>0.16666666666666669</v>
      </c>
      <c r="D32" s="3">
        <v>0.72733333333333339</v>
      </c>
      <c r="E32" s="3">
        <v>0.4200000000000001</v>
      </c>
    </row>
    <row r="33" spans="1:5" x14ac:dyDescent="0.25">
      <c r="A33" s="3">
        <v>0.27999999999999936</v>
      </c>
      <c r="B33" s="3">
        <v>0.17499999999999999</v>
      </c>
      <c r="D33" s="3">
        <v>0.7380000000000001</v>
      </c>
      <c r="E33" s="3">
        <v>0.44000000000000011</v>
      </c>
    </row>
    <row r="34" spans="1:5" x14ac:dyDescent="0.25">
      <c r="A34" s="3">
        <v>0.28999999999999937</v>
      </c>
      <c r="B34" s="3">
        <v>0.18333333333333335</v>
      </c>
      <c r="D34" s="3">
        <v>0.74866666666666681</v>
      </c>
      <c r="E34" s="3">
        <v>0.46000000000000013</v>
      </c>
    </row>
    <row r="35" spans="1:5" x14ac:dyDescent="0.25">
      <c r="A35" s="3">
        <v>0.29999999999999938</v>
      </c>
      <c r="B35" s="3">
        <v>0.19166666666666668</v>
      </c>
      <c r="D35" s="3">
        <v>0.75933333333333342</v>
      </c>
      <c r="E35" s="3">
        <v>0.48000000000000015</v>
      </c>
    </row>
    <row r="36" spans="1:5" x14ac:dyDescent="0.25">
      <c r="A36" s="3">
        <v>0.30999999999999939</v>
      </c>
      <c r="B36" s="3">
        <v>0.2</v>
      </c>
      <c r="D36" s="3">
        <v>0.77</v>
      </c>
      <c r="E36" s="3">
        <v>0.50000000000000011</v>
      </c>
    </row>
    <row r="37" spans="1:5" x14ac:dyDescent="0.25">
      <c r="A37" s="3">
        <v>0.3199999999999994</v>
      </c>
      <c r="B37" s="3">
        <v>0.20833333333333334</v>
      </c>
      <c r="D37" s="3">
        <v>0.78166666666666673</v>
      </c>
      <c r="E37" s="3">
        <v>0.55000000000000016</v>
      </c>
    </row>
    <row r="38" spans="1:5" x14ac:dyDescent="0.25">
      <c r="A38" s="3">
        <v>0.3299999999999994</v>
      </c>
      <c r="B38" s="3">
        <v>0.21666666666666667</v>
      </c>
      <c r="D38" s="3">
        <v>0.79333333333333333</v>
      </c>
      <c r="E38" s="3">
        <v>0.6000000000000002</v>
      </c>
    </row>
    <row r="39" spans="1:5" x14ac:dyDescent="0.25">
      <c r="A39" s="3">
        <v>0.33999999999999941</v>
      </c>
      <c r="B39" s="3">
        <v>0.22500000000000001</v>
      </c>
      <c r="D39" s="3">
        <v>0.80500000000000005</v>
      </c>
      <c r="E39" s="3">
        <v>0.65000000000000024</v>
      </c>
    </row>
    <row r="40" spans="1:5" x14ac:dyDescent="0.25">
      <c r="A40" s="3">
        <v>0.34999999999999942</v>
      </c>
      <c r="B40" s="3">
        <v>0.23333333333333334</v>
      </c>
      <c r="D40" s="3">
        <v>0.81666666666666676</v>
      </c>
      <c r="E40" s="3">
        <v>0.70000000000000029</v>
      </c>
    </row>
    <row r="41" spans="1:5" x14ac:dyDescent="0.25">
      <c r="A41" s="3">
        <v>0.35999999999999943</v>
      </c>
      <c r="B41" s="3">
        <v>0.24166666666666667</v>
      </c>
      <c r="D41" s="3">
        <v>0.82833333333333337</v>
      </c>
      <c r="E41" s="3">
        <v>0.75000000000000033</v>
      </c>
    </row>
    <row r="42" spans="1:5" x14ac:dyDescent="0.25">
      <c r="A42" s="3">
        <v>0.36999999999999944</v>
      </c>
      <c r="B42">
        <v>0.25</v>
      </c>
      <c r="D42" s="3">
        <v>0.84</v>
      </c>
      <c r="E42" s="3">
        <v>0.80000000000000038</v>
      </c>
    </row>
    <row r="43" spans="1:5" x14ac:dyDescent="0.25">
      <c r="A43" s="3">
        <v>0.37999999999999945</v>
      </c>
      <c r="B43" s="3">
        <v>0.26599999999999979</v>
      </c>
      <c r="D43" s="3">
        <v>0.85</v>
      </c>
      <c r="E43" s="3">
        <v>0.85000000000000042</v>
      </c>
    </row>
    <row r="44" spans="1:5" x14ac:dyDescent="0.25">
      <c r="A44" s="3">
        <v>0.38999999999999946</v>
      </c>
      <c r="B44" s="3">
        <v>0.2789999999999998</v>
      </c>
      <c r="D44" s="3">
        <v>0.86</v>
      </c>
      <c r="E44" s="3">
        <v>0.90000000000000047</v>
      </c>
    </row>
    <row r="45" spans="1:5" x14ac:dyDescent="0.25">
      <c r="A45" s="3">
        <v>0.39999999999999947</v>
      </c>
      <c r="B45" s="3">
        <v>0.29199999999999982</v>
      </c>
      <c r="D45" s="3">
        <v>0.87</v>
      </c>
      <c r="E45" s="3">
        <v>0.95000000000000051</v>
      </c>
    </row>
    <row r="46" spans="1:5" x14ac:dyDescent="0.25">
      <c r="A46" s="3">
        <v>0.40999999999998998</v>
      </c>
      <c r="B46" s="3">
        <v>0.30499999999999999</v>
      </c>
      <c r="D46" s="3">
        <v>0.88</v>
      </c>
      <c r="E46" s="3">
        <v>1.0000000000000004</v>
      </c>
    </row>
    <row r="47" spans="1:5" x14ac:dyDescent="0.25">
      <c r="A47" s="3">
        <v>0.41999999999999899</v>
      </c>
      <c r="B47" s="3">
        <v>0.31799999999999984</v>
      </c>
      <c r="D47" s="3">
        <v>0.89</v>
      </c>
      <c r="E47" s="3">
        <v>1.0500000000000005</v>
      </c>
    </row>
    <row r="48" spans="1:5" x14ac:dyDescent="0.25">
      <c r="A48" s="3">
        <v>0.42999999999999899</v>
      </c>
      <c r="B48" s="3">
        <v>0.33099999999999985</v>
      </c>
      <c r="D48" s="3">
        <v>0.9</v>
      </c>
      <c r="E48" s="3">
        <v>1.1000000000000005</v>
      </c>
    </row>
    <row r="49" spans="1:5" x14ac:dyDescent="0.25">
      <c r="A49" s="3">
        <v>0.439999999999999</v>
      </c>
      <c r="B49" s="3">
        <v>0.34399999999999986</v>
      </c>
      <c r="D49" s="3">
        <v>0.91</v>
      </c>
      <c r="E49" s="3">
        <v>1.1500000000000006</v>
      </c>
    </row>
    <row r="50" spans="1:5" x14ac:dyDescent="0.25">
      <c r="A50" s="3">
        <v>0.44999999999999901</v>
      </c>
      <c r="B50" s="3">
        <v>0.35699999999999987</v>
      </c>
      <c r="D50" s="3">
        <v>0.92</v>
      </c>
      <c r="E50" s="3">
        <v>1.2000000000000006</v>
      </c>
    </row>
    <row r="51" spans="1:5" x14ac:dyDescent="0.25">
      <c r="A51" s="3">
        <v>0.45999999999999902</v>
      </c>
      <c r="B51" s="3">
        <v>0.37</v>
      </c>
      <c r="D51" s="3">
        <v>0.92333333333333345</v>
      </c>
      <c r="E51" s="3">
        <v>1.2500000000000007</v>
      </c>
    </row>
    <row r="52" spans="1:5" x14ac:dyDescent="0.25">
      <c r="A52" s="3">
        <v>0.46999999999999897</v>
      </c>
      <c r="B52" s="3">
        <v>0.3829999999999999</v>
      </c>
      <c r="D52" s="3">
        <v>0.92666666666666675</v>
      </c>
      <c r="E52" s="3">
        <v>1.3000000000000007</v>
      </c>
    </row>
    <row r="53" spans="1:5" x14ac:dyDescent="0.25">
      <c r="A53" s="3">
        <v>0.47999999999999898</v>
      </c>
      <c r="B53" s="3">
        <v>0.39599999999999991</v>
      </c>
      <c r="D53" s="3">
        <v>0.93</v>
      </c>
      <c r="E53" s="3">
        <v>1.3500000000000008</v>
      </c>
    </row>
    <row r="54" spans="1:5" x14ac:dyDescent="0.25">
      <c r="A54" s="3">
        <v>0.48999999999999899</v>
      </c>
      <c r="B54" s="3">
        <v>0.40899999999999992</v>
      </c>
      <c r="D54" s="3">
        <v>0.93333333333333335</v>
      </c>
      <c r="E54" s="3">
        <v>1.4000000000000008</v>
      </c>
    </row>
    <row r="55" spans="1:5" x14ac:dyDescent="0.25">
      <c r="A55" s="3">
        <v>0.499999999999999</v>
      </c>
      <c r="B55" s="3">
        <v>0.42199999999999993</v>
      </c>
      <c r="D55" s="3">
        <v>0.93666666666666665</v>
      </c>
      <c r="E55" s="3">
        <v>1.4500000000000008</v>
      </c>
    </row>
    <row r="56" spans="1:5" x14ac:dyDescent="0.25">
      <c r="A56" s="3">
        <v>0.50999999999999901</v>
      </c>
      <c r="B56" s="3">
        <v>0.435</v>
      </c>
      <c r="D56" s="3">
        <v>0.94</v>
      </c>
      <c r="E56" s="3">
        <v>1.5000000000000009</v>
      </c>
    </row>
    <row r="57" spans="1:5" x14ac:dyDescent="0.25">
      <c r="A57" s="3">
        <v>0.51999999999999902</v>
      </c>
      <c r="B57" s="3">
        <v>0.44799999999999995</v>
      </c>
      <c r="D57" s="3">
        <v>0.94600000000000006</v>
      </c>
      <c r="E57" s="3">
        <v>1.600000000000001</v>
      </c>
    </row>
    <row r="58" spans="1:5" x14ac:dyDescent="0.25">
      <c r="A58" s="3">
        <v>0.52999999999999903</v>
      </c>
      <c r="B58" s="3">
        <v>0.46099999999999997</v>
      </c>
      <c r="D58" s="3">
        <v>0.95200000000000007</v>
      </c>
      <c r="E58" s="3">
        <v>1.7000000000000011</v>
      </c>
    </row>
    <row r="59" spans="1:5" x14ac:dyDescent="0.25">
      <c r="A59" s="3">
        <v>0.53999999999999904</v>
      </c>
      <c r="B59" s="3">
        <v>0.47399999999999998</v>
      </c>
      <c r="D59" s="3">
        <v>0.95800000000000007</v>
      </c>
      <c r="E59" s="3">
        <v>1.8000000000000012</v>
      </c>
    </row>
    <row r="60" spans="1:5" x14ac:dyDescent="0.25">
      <c r="A60" s="3">
        <v>0.54999999999999905</v>
      </c>
      <c r="B60" s="3">
        <v>0.48699999999999999</v>
      </c>
      <c r="D60" s="3">
        <v>0.96400000000000008</v>
      </c>
      <c r="E60" s="3">
        <v>1.9000000000000012</v>
      </c>
    </row>
    <row r="61" spans="1:5" x14ac:dyDescent="0.25">
      <c r="A61" s="3">
        <v>0.55999999999999905</v>
      </c>
      <c r="B61" s="3">
        <v>0.5</v>
      </c>
      <c r="D61" s="3">
        <v>0.97</v>
      </c>
      <c r="E61" s="3">
        <v>2.0000000000000013</v>
      </c>
    </row>
    <row r="62" spans="1:5" x14ac:dyDescent="0.25">
      <c r="A62" s="3">
        <v>0.56999999999999895</v>
      </c>
      <c r="B62" s="3">
        <v>0.5219999999999998</v>
      </c>
      <c r="D62" s="3">
        <v>0.97750000000000004</v>
      </c>
      <c r="E62" s="3">
        <v>2.5000000000000013</v>
      </c>
    </row>
    <row r="63" spans="1:5" x14ac:dyDescent="0.25">
      <c r="A63" s="3">
        <v>0.57999999999999896</v>
      </c>
      <c r="B63" s="3">
        <v>0.54099999999999981</v>
      </c>
      <c r="D63" s="3">
        <v>0.98499999999999999</v>
      </c>
      <c r="E63" s="3">
        <v>3.0000000000000013</v>
      </c>
    </row>
    <row r="64" spans="1:5" x14ac:dyDescent="0.25">
      <c r="A64" s="3">
        <v>0.58999999999999897</v>
      </c>
      <c r="B64" s="3">
        <v>0.56000000000000005</v>
      </c>
      <c r="D64" s="3">
        <v>0.99250000000000005</v>
      </c>
      <c r="E64" s="3">
        <v>3.5000000000000013</v>
      </c>
    </row>
    <row r="65" spans="1:5" x14ac:dyDescent="0.25">
      <c r="A65" s="3">
        <v>0.59999999999999898</v>
      </c>
      <c r="B65" s="3">
        <v>0.57899999999999985</v>
      </c>
      <c r="D65" s="3">
        <v>1</v>
      </c>
      <c r="E65" s="3">
        <v>4.0000000000000018</v>
      </c>
    </row>
    <row r="66" spans="1:5" x14ac:dyDescent="0.25">
      <c r="A66" s="3">
        <v>0.60999999999999899</v>
      </c>
      <c r="B66" s="3">
        <v>0.59799999999999986</v>
      </c>
    </row>
    <row r="67" spans="1:5" x14ac:dyDescent="0.25">
      <c r="A67" s="3">
        <v>0.619999999999999</v>
      </c>
      <c r="B67" s="3">
        <v>0.61699999999999988</v>
      </c>
    </row>
    <row r="68" spans="1:5" x14ac:dyDescent="0.25">
      <c r="A68" s="3">
        <v>0.62999999999999901</v>
      </c>
      <c r="B68" s="3">
        <v>0.6359999999999999</v>
      </c>
    </row>
    <row r="69" spans="1:5" x14ac:dyDescent="0.25">
      <c r="A69" s="3">
        <v>0.63999999999999901</v>
      </c>
      <c r="B69" s="3">
        <v>0.65500000000000003</v>
      </c>
    </row>
    <row r="70" spans="1:5" x14ac:dyDescent="0.25">
      <c r="A70" s="3">
        <v>0.64999999999999902</v>
      </c>
      <c r="B70" s="3">
        <v>0.67399999999999993</v>
      </c>
    </row>
    <row r="71" spans="1:5" x14ac:dyDescent="0.25">
      <c r="A71" s="3">
        <v>0.65999999999999903</v>
      </c>
      <c r="B71" s="3">
        <v>0.69299999999999995</v>
      </c>
    </row>
    <row r="72" spans="1:5" x14ac:dyDescent="0.25">
      <c r="A72" s="3">
        <v>0.66999999999999904</v>
      </c>
      <c r="B72" s="3">
        <v>0.71199999999999997</v>
      </c>
    </row>
    <row r="73" spans="1:5" x14ac:dyDescent="0.25">
      <c r="A73" s="3">
        <v>0.67999999999999905</v>
      </c>
      <c r="B73" s="3">
        <v>0.73099999999999998</v>
      </c>
    </row>
    <row r="74" spans="1:5" x14ac:dyDescent="0.25">
      <c r="A74" s="3">
        <v>0.68999999999999895</v>
      </c>
      <c r="B74" s="3">
        <v>0.75</v>
      </c>
    </row>
    <row r="75" spans="1:5" x14ac:dyDescent="0.25">
      <c r="A75" s="3">
        <v>0.69999999999999896</v>
      </c>
      <c r="B75" s="3">
        <v>0.7759999999999998</v>
      </c>
    </row>
    <row r="76" spans="1:5" x14ac:dyDescent="0.25">
      <c r="A76" s="3">
        <v>0.71</v>
      </c>
      <c r="B76" s="3">
        <v>0.80399999999999983</v>
      </c>
    </row>
    <row r="77" spans="1:5" x14ac:dyDescent="0.25">
      <c r="A77" s="3">
        <v>0.71999999999999897</v>
      </c>
      <c r="B77" s="3">
        <v>0.83199999999999985</v>
      </c>
    </row>
    <row r="78" spans="1:5" x14ac:dyDescent="0.25">
      <c r="A78" s="3">
        <v>0.72999999999999898</v>
      </c>
      <c r="B78" s="3">
        <v>0.86</v>
      </c>
    </row>
    <row r="79" spans="1:5" x14ac:dyDescent="0.25">
      <c r="A79" s="3">
        <v>0.73999999999999899</v>
      </c>
      <c r="B79" s="3">
        <v>0.8879999999999999</v>
      </c>
    </row>
    <row r="80" spans="1:5" x14ac:dyDescent="0.25">
      <c r="A80" s="3">
        <v>0.749999999999999</v>
      </c>
      <c r="B80" s="3">
        <v>0.91599999999999993</v>
      </c>
    </row>
    <row r="81" spans="1:2" x14ac:dyDescent="0.25">
      <c r="A81" s="3">
        <v>0.75999999999999901</v>
      </c>
      <c r="B81" s="3">
        <v>0.94399999999999995</v>
      </c>
    </row>
    <row r="82" spans="1:2" x14ac:dyDescent="0.25">
      <c r="A82" s="3">
        <v>0.76999999999999902</v>
      </c>
      <c r="B82" s="3">
        <v>0.97199999999999998</v>
      </c>
    </row>
    <row r="83" spans="1:2" x14ac:dyDescent="0.25">
      <c r="A83" s="3">
        <v>0.77999999999999903</v>
      </c>
      <c r="B83" s="3">
        <v>1</v>
      </c>
    </row>
    <row r="84" spans="1:2" x14ac:dyDescent="0.25">
      <c r="A84" s="3">
        <v>0.78999999999999904</v>
      </c>
      <c r="B84" s="3">
        <v>1.04</v>
      </c>
    </row>
    <row r="85" spans="1:2" x14ac:dyDescent="0.25">
      <c r="A85" s="3">
        <v>0.79999999999999905</v>
      </c>
      <c r="B85" s="3">
        <v>1.08</v>
      </c>
    </row>
    <row r="86" spans="1:2" x14ac:dyDescent="0.25">
      <c r="A86" s="3">
        <v>0.80999999999999905</v>
      </c>
      <c r="B86" s="3">
        <v>1.1200000000000001</v>
      </c>
    </row>
    <row r="87" spans="1:2" x14ac:dyDescent="0.25">
      <c r="A87" s="3">
        <v>0.81999999999999895</v>
      </c>
      <c r="B87" s="3">
        <v>1.1599999999999999</v>
      </c>
    </row>
    <row r="88" spans="1:2" x14ac:dyDescent="0.25">
      <c r="A88" s="3">
        <v>0.82999999999999896</v>
      </c>
      <c r="B88" s="3">
        <v>1.2</v>
      </c>
    </row>
    <row r="89" spans="1:2" x14ac:dyDescent="0.25">
      <c r="A89" s="3">
        <v>0.83999999999999897</v>
      </c>
      <c r="B89" s="3">
        <v>1.26</v>
      </c>
    </row>
    <row r="90" spans="1:2" x14ac:dyDescent="0.25">
      <c r="A90" s="3">
        <v>0.84999999999999898</v>
      </c>
      <c r="B90" s="3">
        <v>1.32</v>
      </c>
    </row>
    <row r="91" spans="1:2" x14ac:dyDescent="0.25">
      <c r="A91" s="3">
        <v>0.85999999999999899</v>
      </c>
      <c r="B91" s="3">
        <v>1.38</v>
      </c>
    </row>
    <row r="92" spans="1:2" x14ac:dyDescent="0.25">
      <c r="A92" s="3">
        <v>0.869999999999999</v>
      </c>
      <c r="B92" s="3">
        <v>1.44</v>
      </c>
    </row>
    <row r="93" spans="1:2" x14ac:dyDescent="0.25">
      <c r="A93" s="3">
        <v>0.87999999999999901</v>
      </c>
      <c r="B93" s="3">
        <v>1.5</v>
      </c>
    </row>
    <row r="94" spans="1:2" x14ac:dyDescent="0.25">
      <c r="A94" s="3">
        <v>0.88999999999999901</v>
      </c>
      <c r="B94" s="3">
        <v>1.6</v>
      </c>
    </row>
    <row r="95" spans="1:2" x14ac:dyDescent="0.25">
      <c r="A95" s="3">
        <v>0.89999999999999902</v>
      </c>
      <c r="B95" s="3">
        <v>1.7</v>
      </c>
    </row>
    <row r="96" spans="1:2" x14ac:dyDescent="0.25">
      <c r="A96" s="3">
        <v>0.90999999999999903</v>
      </c>
      <c r="B96" s="3">
        <v>1.8</v>
      </c>
    </row>
    <row r="97" spans="1:2" x14ac:dyDescent="0.25">
      <c r="A97" s="3">
        <v>0.91999999999999904</v>
      </c>
      <c r="B97" s="3">
        <v>2</v>
      </c>
    </row>
    <row r="98" spans="1:2" x14ac:dyDescent="0.25">
      <c r="A98" s="3">
        <v>0.92999999999999905</v>
      </c>
      <c r="B98" s="3">
        <v>2.2000000000000002</v>
      </c>
    </row>
    <row r="99" spans="1:2" x14ac:dyDescent="0.25">
      <c r="A99" s="3">
        <v>0.93999999999999895</v>
      </c>
      <c r="B99" s="3">
        <v>2.4</v>
      </c>
    </row>
    <row r="100" spans="1:2" x14ac:dyDescent="0.25">
      <c r="A100" s="3">
        <v>0.94999999999999896</v>
      </c>
      <c r="B100" s="3">
        <v>2.6</v>
      </c>
    </row>
    <row r="101" spans="1:2" x14ac:dyDescent="0.25">
      <c r="A101" s="3">
        <v>0.95999999999999897</v>
      </c>
      <c r="B101" s="3">
        <v>2.8</v>
      </c>
    </row>
    <row r="102" spans="1:2" x14ac:dyDescent="0.25">
      <c r="A102" s="3">
        <v>0.96999999999999897</v>
      </c>
      <c r="B102" s="3">
        <v>3</v>
      </c>
    </row>
    <row r="103" spans="1:2" x14ac:dyDescent="0.25">
      <c r="A103" s="3">
        <v>0.97999999999999898</v>
      </c>
      <c r="B103" s="3">
        <v>3.33</v>
      </c>
    </row>
    <row r="104" spans="1:2" x14ac:dyDescent="0.25">
      <c r="A104" s="3">
        <v>0.98999999999999899</v>
      </c>
      <c r="B104" s="3">
        <v>3.66</v>
      </c>
    </row>
    <row r="105" spans="1:2" x14ac:dyDescent="0.25">
      <c r="A105" s="3">
        <v>0.99999999999989997</v>
      </c>
      <c r="B105" s="3">
        <v>4</v>
      </c>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210"/>
  <sheetViews>
    <sheetView workbookViewId="0">
      <selection activeCell="L27" sqref="L27"/>
    </sheetView>
  </sheetViews>
  <sheetFormatPr defaultRowHeight="12.5" x14ac:dyDescent="0.25"/>
  <cols>
    <col min="1" max="1" width="19.54296875" style="65" customWidth="1"/>
    <col min="2" max="3" width="12.81640625" style="65" bestFit="1" customWidth="1"/>
    <col min="4" max="4" width="17.81640625" style="65" customWidth="1"/>
    <col min="5" max="5" width="19.453125" style="65" customWidth="1"/>
    <col min="7" max="7" width="19.453125" customWidth="1"/>
    <col min="8" max="8" width="19.54296875" customWidth="1"/>
    <col min="9" max="9" width="14.26953125" customWidth="1"/>
  </cols>
  <sheetData>
    <row r="1" spans="1:20" ht="15" x14ac:dyDescent="0.25">
      <c r="A1" s="119" t="s">
        <v>124</v>
      </c>
      <c r="B1" s="119"/>
      <c r="C1" s="119"/>
      <c r="D1" s="119"/>
      <c r="E1" s="119"/>
    </row>
    <row r="2" spans="1:20" s="64" customFormat="1" ht="13" x14ac:dyDescent="0.25">
      <c r="A2" s="70" t="s">
        <v>91</v>
      </c>
      <c r="B2" s="67" t="s">
        <v>89</v>
      </c>
      <c r="C2" s="67" t="s">
        <v>93</v>
      </c>
      <c r="D2" s="67" t="s">
        <v>95</v>
      </c>
      <c r="E2" s="67" t="s">
        <v>122</v>
      </c>
    </row>
    <row r="3" spans="1:20" s="64" customFormat="1" ht="13.5" thickBot="1" x14ac:dyDescent="0.3">
      <c r="A3" s="70" t="s">
        <v>92</v>
      </c>
      <c r="B3" s="67" t="s">
        <v>90</v>
      </c>
      <c r="C3" s="67" t="s">
        <v>94</v>
      </c>
      <c r="D3" s="67"/>
      <c r="E3" s="67" t="s">
        <v>119</v>
      </c>
    </row>
    <row r="4" spans="1:20" ht="13" x14ac:dyDescent="0.3">
      <c r="A4" s="65">
        <v>1</v>
      </c>
      <c r="B4" s="66">
        <f>A4*0.056</f>
        <v>5.6000000000000001E-2</v>
      </c>
      <c r="C4" s="65">
        <f>A4*25</f>
        <v>25</v>
      </c>
      <c r="D4" s="65" t="s">
        <v>97</v>
      </c>
      <c r="E4" s="65" t="s">
        <v>96</v>
      </c>
      <c r="I4" s="123" t="s">
        <v>134</v>
      </c>
      <c r="J4" s="124"/>
      <c r="K4" s="124"/>
      <c r="L4" s="124"/>
      <c r="M4" s="124"/>
      <c r="N4" s="124"/>
      <c r="O4" s="124"/>
      <c r="P4" s="124"/>
      <c r="Q4" s="124"/>
      <c r="R4" s="124"/>
      <c r="S4" s="124"/>
      <c r="T4" s="125"/>
    </row>
    <row r="5" spans="1:20" x14ac:dyDescent="0.25">
      <c r="A5" s="65">
        <v>2</v>
      </c>
      <c r="B5" s="66">
        <f t="shared" ref="B5:B57" si="0">A5*0.056</f>
        <v>0.112</v>
      </c>
      <c r="C5" s="65">
        <f t="shared" ref="C5:C57" si="1">A5*25</f>
        <v>50</v>
      </c>
      <c r="D5" s="65" t="s">
        <v>97</v>
      </c>
      <c r="E5" s="65" t="s">
        <v>96</v>
      </c>
      <c r="I5" s="97"/>
      <c r="J5" s="96"/>
      <c r="K5" s="96"/>
      <c r="L5" s="96"/>
      <c r="M5" s="96"/>
      <c r="N5" s="96"/>
      <c r="O5" s="96"/>
      <c r="P5" s="96"/>
      <c r="Q5" s="96"/>
      <c r="R5" s="96"/>
      <c r="S5" s="96"/>
      <c r="T5" s="98"/>
    </row>
    <row r="6" spans="1:20" x14ac:dyDescent="0.25">
      <c r="A6" s="65">
        <v>3</v>
      </c>
      <c r="B6" s="66">
        <f t="shared" si="0"/>
        <v>0.16800000000000001</v>
      </c>
      <c r="C6" s="65">
        <f t="shared" si="1"/>
        <v>75</v>
      </c>
      <c r="D6" s="65" t="s">
        <v>97</v>
      </c>
      <c r="E6" s="65" t="s">
        <v>96</v>
      </c>
      <c r="I6" s="97"/>
      <c r="J6" s="96"/>
      <c r="K6" s="96"/>
      <c r="L6" s="96"/>
      <c r="M6" s="96"/>
      <c r="N6" s="96"/>
      <c r="O6" s="96"/>
      <c r="P6" s="96"/>
      <c r="Q6" s="96"/>
      <c r="R6" s="96"/>
      <c r="S6" s="96"/>
      <c r="T6" s="98"/>
    </row>
    <row r="7" spans="1:20" x14ac:dyDescent="0.25">
      <c r="A7" s="65">
        <v>4</v>
      </c>
      <c r="B7" s="66">
        <f t="shared" si="0"/>
        <v>0.224</v>
      </c>
      <c r="C7" s="65">
        <f t="shared" si="1"/>
        <v>100</v>
      </c>
      <c r="D7" s="65" t="s">
        <v>97</v>
      </c>
      <c r="E7" s="65" t="s">
        <v>96</v>
      </c>
      <c r="I7" s="97"/>
      <c r="J7" s="96"/>
      <c r="K7" s="96"/>
      <c r="L7" s="96"/>
      <c r="M7" s="96"/>
      <c r="N7" s="96"/>
      <c r="O7" s="96"/>
      <c r="P7" s="96"/>
      <c r="Q7" s="96"/>
      <c r="R7" s="96"/>
      <c r="S7" s="96"/>
      <c r="T7" s="98"/>
    </row>
    <row r="8" spans="1:20" x14ac:dyDescent="0.25">
      <c r="A8" s="65">
        <v>5</v>
      </c>
      <c r="B8" s="66">
        <f t="shared" si="0"/>
        <v>0.28000000000000003</v>
      </c>
      <c r="C8" s="65">
        <f t="shared" si="1"/>
        <v>125</v>
      </c>
      <c r="D8" s="65" t="s">
        <v>97</v>
      </c>
      <c r="E8" s="65" t="s">
        <v>96</v>
      </c>
      <c r="I8" s="97"/>
      <c r="J8" s="96"/>
      <c r="K8" s="96"/>
      <c r="L8" s="96"/>
      <c r="M8" s="96"/>
      <c r="N8" s="96"/>
      <c r="O8" s="96"/>
      <c r="P8" s="96"/>
      <c r="Q8" s="96"/>
      <c r="R8" s="96"/>
      <c r="S8" s="96"/>
      <c r="T8" s="98"/>
    </row>
    <row r="9" spans="1:20" x14ac:dyDescent="0.25">
      <c r="A9" s="65">
        <v>6</v>
      </c>
      <c r="B9" s="66">
        <f t="shared" si="0"/>
        <v>0.33600000000000002</v>
      </c>
      <c r="C9" s="65">
        <f t="shared" si="1"/>
        <v>150</v>
      </c>
      <c r="D9" s="65" t="s">
        <v>97</v>
      </c>
      <c r="E9" s="65" t="s">
        <v>96</v>
      </c>
      <c r="I9" s="97"/>
      <c r="J9" s="96"/>
      <c r="K9" s="96"/>
      <c r="L9" s="96"/>
      <c r="M9" s="96"/>
      <c r="N9" s="96"/>
      <c r="O9" s="96"/>
      <c r="P9" s="96"/>
      <c r="Q9" s="96"/>
      <c r="R9" s="96"/>
      <c r="S9" s="96"/>
      <c r="T9" s="98"/>
    </row>
    <row r="10" spans="1:20" x14ac:dyDescent="0.25">
      <c r="A10" s="82">
        <v>7</v>
      </c>
      <c r="B10" s="83">
        <f t="shared" si="0"/>
        <v>0.39200000000000002</v>
      </c>
      <c r="C10" s="84">
        <f t="shared" si="1"/>
        <v>175</v>
      </c>
      <c r="D10" s="85" t="s">
        <v>113</v>
      </c>
      <c r="E10" s="80" t="s">
        <v>98</v>
      </c>
      <c r="I10" s="97"/>
      <c r="J10" s="96"/>
      <c r="K10" s="96"/>
      <c r="L10" s="96"/>
      <c r="M10" s="96"/>
      <c r="N10" s="96"/>
      <c r="O10" s="96"/>
      <c r="P10" s="96"/>
      <c r="Q10" s="96"/>
      <c r="R10" s="96"/>
      <c r="S10" s="96"/>
      <c r="T10" s="98"/>
    </row>
    <row r="11" spans="1:20" x14ac:dyDescent="0.25">
      <c r="A11" s="86">
        <v>8</v>
      </c>
      <c r="B11" s="87">
        <f t="shared" si="0"/>
        <v>0.44800000000000001</v>
      </c>
      <c r="C11" s="88">
        <f t="shared" si="1"/>
        <v>200</v>
      </c>
      <c r="D11" s="89" t="s">
        <v>113</v>
      </c>
      <c r="E11" s="90" t="s">
        <v>100</v>
      </c>
      <c r="F11" s="96"/>
      <c r="I11" s="97"/>
      <c r="J11" s="96"/>
      <c r="K11" s="96"/>
      <c r="L11" s="96"/>
      <c r="M11" s="96"/>
      <c r="N11" s="96"/>
      <c r="O11" s="96"/>
      <c r="P11" s="96"/>
      <c r="Q11" s="96"/>
      <c r="R11" s="96"/>
      <c r="S11" s="96"/>
      <c r="T11" s="98"/>
    </row>
    <row r="12" spans="1:20" x14ac:dyDescent="0.25">
      <c r="A12" s="86">
        <v>9</v>
      </c>
      <c r="B12" s="87">
        <f t="shared" si="0"/>
        <v>0.504</v>
      </c>
      <c r="C12" s="88">
        <f t="shared" si="1"/>
        <v>225</v>
      </c>
      <c r="D12" s="89" t="s">
        <v>113</v>
      </c>
      <c r="E12" s="90" t="s">
        <v>101</v>
      </c>
      <c r="F12" s="96"/>
      <c r="I12" s="97"/>
      <c r="J12" s="96"/>
      <c r="K12" s="96"/>
      <c r="L12" s="96"/>
      <c r="M12" s="96"/>
      <c r="N12" s="96"/>
      <c r="O12" s="96"/>
      <c r="P12" s="96"/>
      <c r="Q12" s="96"/>
      <c r="R12" s="96"/>
      <c r="S12" s="96"/>
      <c r="T12" s="98"/>
    </row>
    <row r="13" spans="1:20" x14ac:dyDescent="0.25">
      <c r="A13" s="86">
        <v>10</v>
      </c>
      <c r="B13" s="87">
        <f t="shared" si="0"/>
        <v>0.56000000000000005</v>
      </c>
      <c r="C13" s="88">
        <f t="shared" si="1"/>
        <v>250</v>
      </c>
      <c r="D13" s="89" t="s">
        <v>113</v>
      </c>
      <c r="E13" s="90" t="s">
        <v>102</v>
      </c>
      <c r="F13" s="96"/>
      <c r="I13" s="97"/>
      <c r="J13" s="96"/>
      <c r="K13" s="96"/>
      <c r="L13" s="96"/>
      <c r="M13" s="96"/>
      <c r="N13" s="96"/>
      <c r="O13" s="96"/>
      <c r="P13" s="96"/>
      <c r="Q13" s="96"/>
      <c r="R13" s="96"/>
      <c r="S13" s="96"/>
      <c r="T13" s="98"/>
    </row>
    <row r="14" spans="1:20" x14ac:dyDescent="0.25">
      <c r="A14" s="86">
        <v>11</v>
      </c>
      <c r="B14" s="87">
        <f t="shared" si="0"/>
        <v>0.61599999999999999</v>
      </c>
      <c r="C14" s="88">
        <f t="shared" si="1"/>
        <v>275</v>
      </c>
      <c r="D14" s="89" t="s">
        <v>113</v>
      </c>
      <c r="E14" s="90" t="s">
        <v>103</v>
      </c>
      <c r="F14" s="96"/>
      <c r="I14" s="97"/>
      <c r="J14" s="96"/>
      <c r="K14" s="96"/>
      <c r="L14" s="96"/>
      <c r="M14" s="96"/>
      <c r="N14" s="96"/>
      <c r="O14" s="96"/>
      <c r="P14" s="96"/>
      <c r="Q14" s="96"/>
      <c r="R14" s="96"/>
      <c r="S14" s="96"/>
      <c r="T14" s="98"/>
    </row>
    <row r="15" spans="1:20" x14ac:dyDescent="0.25">
      <c r="A15" s="86">
        <v>12</v>
      </c>
      <c r="B15" s="87">
        <f t="shared" si="0"/>
        <v>0.67200000000000004</v>
      </c>
      <c r="C15" s="88">
        <f t="shared" si="1"/>
        <v>300</v>
      </c>
      <c r="D15" s="89" t="s">
        <v>113</v>
      </c>
      <c r="E15" s="90" t="s">
        <v>104</v>
      </c>
      <c r="F15" s="96" t="s">
        <v>110</v>
      </c>
      <c r="I15" s="97"/>
      <c r="J15" s="96"/>
      <c r="K15" s="96"/>
      <c r="L15" s="96"/>
      <c r="M15" s="96"/>
      <c r="N15" s="96"/>
      <c r="O15" s="96"/>
      <c r="P15" s="96"/>
      <c r="Q15" s="96"/>
      <c r="R15" s="96"/>
      <c r="S15" s="96"/>
      <c r="T15" s="98"/>
    </row>
    <row r="16" spans="1:20" x14ac:dyDescent="0.25">
      <c r="A16" s="86">
        <v>13</v>
      </c>
      <c r="B16" s="87">
        <f t="shared" si="0"/>
        <v>0.72799999999999998</v>
      </c>
      <c r="C16" s="88">
        <f t="shared" si="1"/>
        <v>325</v>
      </c>
      <c r="D16" s="89" t="s">
        <v>113</v>
      </c>
      <c r="E16" s="90" t="s">
        <v>105</v>
      </c>
      <c r="F16" s="96"/>
      <c r="I16" s="97"/>
      <c r="J16" s="96"/>
      <c r="K16" s="96"/>
      <c r="L16" s="96"/>
      <c r="M16" s="96"/>
      <c r="N16" s="96"/>
      <c r="O16" s="96"/>
      <c r="P16" s="96"/>
      <c r="Q16" s="96"/>
      <c r="R16" s="96"/>
      <c r="S16" s="96"/>
      <c r="T16" s="98"/>
    </row>
    <row r="17" spans="1:20" x14ac:dyDescent="0.25">
      <c r="A17" s="86">
        <v>14</v>
      </c>
      <c r="B17" s="87">
        <f t="shared" si="0"/>
        <v>0.78400000000000003</v>
      </c>
      <c r="C17" s="88">
        <f t="shared" si="1"/>
        <v>350</v>
      </c>
      <c r="D17" s="89" t="s">
        <v>113</v>
      </c>
      <c r="E17" s="90" t="s">
        <v>106</v>
      </c>
      <c r="F17" s="96"/>
      <c r="I17" s="97"/>
      <c r="J17" s="96"/>
      <c r="K17" s="96"/>
      <c r="L17" s="96"/>
      <c r="M17" s="96"/>
      <c r="N17" s="96"/>
      <c r="O17" s="96"/>
      <c r="P17" s="96"/>
      <c r="Q17" s="96"/>
      <c r="R17" s="96"/>
      <c r="S17" s="96"/>
      <c r="T17" s="98"/>
    </row>
    <row r="18" spans="1:20" x14ac:dyDescent="0.25">
      <c r="A18" s="86">
        <v>15</v>
      </c>
      <c r="B18" s="87">
        <f t="shared" si="0"/>
        <v>0.84</v>
      </c>
      <c r="C18" s="88">
        <f t="shared" si="1"/>
        <v>375</v>
      </c>
      <c r="D18" s="89" t="s">
        <v>113</v>
      </c>
      <c r="E18" s="90" t="s">
        <v>107</v>
      </c>
      <c r="F18" s="96"/>
      <c r="I18" s="97"/>
      <c r="J18" s="96"/>
      <c r="K18" s="96"/>
      <c r="L18" s="96"/>
      <c r="M18" s="96"/>
      <c r="N18" s="96"/>
      <c r="O18" s="96"/>
      <c r="P18" s="96"/>
      <c r="Q18" s="96"/>
      <c r="R18" s="96"/>
      <c r="S18" s="96"/>
      <c r="T18" s="98"/>
    </row>
    <row r="19" spans="1:20" x14ac:dyDescent="0.25">
      <c r="A19" s="86">
        <v>16</v>
      </c>
      <c r="B19" s="87">
        <f t="shared" si="0"/>
        <v>0.89600000000000002</v>
      </c>
      <c r="C19" s="88">
        <f t="shared" si="1"/>
        <v>400</v>
      </c>
      <c r="D19" s="89" t="s">
        <v>113</v>
      </c>
      <c r="E19" s="90" t="s">
        <v>108</v>
      </c>
      <c r="F19" s="96"/>
      <c r="I19" s="97"/>
      <c r="J19" s="96"/>
      <c r="K19" s="96"/>
      <c r="L19" s="96"/>
      <c r="M19" s="96"/>
      <c r="N19" s="96"/>
      <c r="O19" s="96"/>
      <c r="P19" s="96"/>
      <c r="Q19" s="96"/>
      <c r="R19" s="96"/>
      <c r="S19" s="96"/>
      <c r="T19" s="98"/>
    </row>
    <row r="20" spans="1:20" x14ac:dyDescent="0.25">
      <c r="A20" s="91">
        <v>17</v>
      </c>
      <c r="B20" s="92">
        <f t="shared" si="0"/>
        <v>0.95200000000000007</v>
      </c>
      <c r="C20" s="93">
        <f t="shared" si="1"/>
        <v>425</v>
      </c>
      <c r="D20" s="94" t="s">
        <v>113</v>
      </c>
      <c r="E20" s="73" t="s">
        <v>109</v>
      </c>
      <c r="F20" s="96"/>
      <c r="I20" s="97"/>
      <c r="J20" s="96"/>
      <c r="K20" s="96"/>
      <c r="L20" s="96"/>
      <c r="M20" s="96"/>
      <c r="N20" s="96"/>
      <c r="O20" s="96"/>
      <c r="P20" s="96"/>
      <c r="Q20" s="96"/>
      <c r="R20" s="96"/>
      <c r="S20" s="96"/>
      <c r="T20" s="98"/>
    </row>
    <row r="21" spans="1:20" x14ac:dyDescent="0.25">
      <c r="A21" s="86">
        <v>18</v>
      </c>
      <c r="B21" s="87">
        <f t="shared" si="0"/>
        <v>1.008</v>
      </c>
      <c r="C21" s="88">
        <f t="shared" si="1"/>
        <v>450</v>
      </c>
      <c r="D21" s="89" t="s">
        <v>114</v>
      </c>
      <c r="E21" s="81" t="s">
        <v>99</v>
      </c>
      <c r="I21" s="97"/>
      <c r="J21" s="96"/>
      <c r="K21" s="96"/>
      <c r="L21" s="96"/>
      <c r="M21" s="96"/>
      <c r="N21" s="96"/>
      <c r="O21" s="96"/>
      <c r="P21" s="96"/>
      <c r="Q21" s="96"/>
      <c r="R21" s="96"/>
      <c r="S21" s="96"/>
      <c r="T21" s="98"/>
    </row>
    <row r="22" spans="1:20" x14ac:dyDescent="0.25">
      <c r="A22" s="86">
        <v>19</v>
      </c>
      <c r="B22" s="87">
        <f t="shared" si="0"/>
        <v>1.0640000000000001</v>
      </c>
      <c r="C22" s="88">
        <f t="shared" si="1"/>
        <v>475</v>
      </c>
      <c r="D22" s="89" t="s">
        <v>114</v>
      </c>
      <c r="E22" s="81" t="s">
        <v>111</v>
      </c>
      <c r="I22" s="97"/>
      <c r="J22" s="96"/>
      <c r="K22" s="96"/>
      <c r="L22" s="96"/>
      <c r="M22" s="96"/>
      <c r="N22" s="96"/>
      <c r="O22" s="96"/>
      <c r="P22" s="96"/>
      <c r="Q22" s="96"/>
      <c r="R22" s="96"/>
      <c r="S22" s="96"/>
      <c r="T22" s="98"/>
    </row>
    <row r="23" spans="1:20" ht="13" thickBot="1" x14ac:dyDescent="0.3">
      <c r="A23" s="86">
        <v>20</v>
      </c>
      <c r="B23" s="87">
        <f t="shared" si="0"/>
        <v>1.1200000000000001</v>
      </c>
      <c r="C23" s="88">
        <f t="shared" si="1"/>
        <v>500</v>
      </c>
      <c r="D23" s="89" t="s">
        <v>114</v>
      </c>
      <c r="E23" s="81" t="s">
        <v>111</v>
      </c>
      <c r="I23" s="120" t="s">
        <v>133</v>
      </c>
      <c r="J23" s="121"/>
      <c r="K23" s="121"/>
      <c r="L23" s="121"/>
      <c r="M23" s="121"/>
      <c r="N23" s="121"/>
      <c r="O23" s="121"/>
      <c r="P23" s="121"/>
      <c r="Q23" s="121"/>
      <c r="R23" s="121"/>
      <c r="S23" s="121"/>
      <c r="T23" s="122"/>
    </row>
    <row r="24" spans="1:20" x14ac:dyDescent="0.25">
      <c r="A24" s="86">
        <v>21</v>
      </c>
      <c r="B24" s="87">
        <f t="shared" si="0"/>
        <v>1.1759999999999999</v>
      </c>
      <c r="C24" s="88">
        <f t="shared" si="1"/>
        <v>525</v>
      </c>
      <c r="D24" s="89" t="s">
        <v>114</v>
      </c>
      <c r="E24" s="81" t="s">
        <v>111</v>
      </c>
    </row>
    <row r="25" spans="1:20" x14ac:dyDescent="0.25">
      <c r="A25" s="86">
        <v>22</v>
      </c>
      <c r="B25" s="87">
        <f t="shared" si="0"/>
        <v>1.232</v>
      </c>
      <c r="C25" s="88">
        <f t="shared" si="1"/>
        <v>550</v>
      </c>
      <c r="D25" s="89" t="s">
        <v>114</v>
      </c>
      <c r="E25" s="81" t="s">
        <v>111</v>
      </c>
    </row>
    <row r="26" spans="1:20" x14ac:dyDescent="0.25">
      <c r="A26" s="86">
        <v>23</v>
      </c>
      <c r="B26" s="87">
        <f t="shared" si="0"/>
        <v>1.288</v>
      </c>
      <c r="C26" s="88">
        <f t="shared" si="1"/>
        <v>575</v>
      </c>
      <c r="D26" s="89" t="s">
        <v>114</v>
      </c>
      <c r="E26" s="81" t="s">
        <v>111</v>
      </c>
      <c r="H26" s="63"/>
      <c r="I26" s="63"/>
      <c r="K26" s="63"/>
      <c r="L26" s="63"/>
    </row>
    <row r="27" spans="1:20" x14ac:dyDescent="0.25">
      <c r="A27" s="86">
        <v>24</v>
      </c>
      <c r="B27" s="87">
        <f t="shared" si="0"/>
        <v>1.3440000000000001</v>
      </c>
      <c r="C27" s="88">
        <f t="shared" si="1"/>
        <v>600</v>
      </c>
      <c r="D27" s="89" t="s">
        <v>114</v>
      </c>
      <c r="E27" s="81" t="s">
        <v>111</v>
      </c>
    </row>
    <row r="28" spans="1:20" x14ac:dyDescent="0.25">
      <c r="A28" s="86">
        <v>25</v>
      </c>
      <c r="B28" s="87">
        <f t="shared" si="0"/>
        <v>1.4000000000000001</v>
      </c>
      <c r="C28" s="88">
        <f t="shared" si="1"/>
        <v>625</v>
      </c>
      <c r="D28" s="89" t="s">
        <v>114</v>
      </c>
      <c r="E28" s="81" t="s">
        <v>111</v>
      </c>
    </row>
    <row r="29" spans="1:20" x14ac:dyDescent="0.25">
      <c r="A29" s="86">
        <v>26</v>
      </c>
      <c r="B29" s="87">
        <f t="shared" si="0"/>
        <v>1.456</v>
      </c>
      <c r="C29" s="88">
        <f t="shared" si="1"/>
        <v>650</v>
      </c>
      <c r="D29" s="89" t="s">
        <v>114</v>
      </c>
      <c r="E29" s="81" t="s">
        <v>111</v>
      </c>
    </row>
    <row r="30" spans="1:20" x14ac:dyDescent="0.25">
      <c r="A30" s="86">
        <v>27</v>
      </c>
      <c r="B30" s="87">
        <f t="shared" si="0"/>
        <v>1.512</v>
      </c>
      <c r="C30" s="88">
        <f t="shared" si="1"/>
        <v>675</v>
      </c>
      <c r="D30" s="89" t="s">
        <v>114</v>
      </c>
      <c r="E30" s="81" t="s">
        <v>111</v>
      </c>
    </row>
    <row r="31" spans="1:20" x14ac:dyDescent="0.25">
      <c r="A31" s="86">
        <v>28</v>
      </c>
      <c r="B31" s="87">
        <f t="shared" si="0"/>
        <v>1.5680000000000001</v>
      </c>
      <c r="C31" s="88">
        <f t="shared" si="1"/>
        <v>700</v>
      </c>
      <c r="D31" s="89" t="s">
        <v>114</v>
      </c>
      <c r="E31" s="81" t="s">
        <v>111</v>
      </c>
    </row>
    <row r="32" spans="1:20" x14ac:dyDescent="0.25">
      <c r="A32" s="86">
        <v>29</v>
      </c>
      <c r="B32" s="87">
        <f t="shared" si="0"/>
        <v>1.6240000000000001</v>
      </c>
      <c r="C32" s="88">
        <f t="shared" si="1"/>
        <v>725</v>
      </c>
      <c r="D32" s="89" t="s">
        <v>114</v>
      </c>
      <c r="E32" s="81" t="s">
        <v>111</v>
      </c>
    </row>
    <row r="33" spans="1:12" x14ac:dyDescent="0.25">
      <c r="A33" s="86">
        <v>30</v>
      </c>
      <c r="B33" s="87">
        <f t="shared" si="0"/>
        <v>1.68</v>
      </c>
      <c r="C33" s="88">
        <f t="shared" si="1"/>
        <v>750</v>
      </c>
      <c r="D33" s="89" t="s">
        <v>114</v>
      </c>
      <c r="E33" s="81" t="s">
        <v>111</v>
      </c>
    </row>
    <row r="34" spans="1:12" x14ac:dyDescent="0.25">
      <c r="A34" s="86">
        <v>31</v>
      </c>
      <c r="B34" s="87">
        <f t="shared" si="0"/>
        <v>1.736</v>
      </c>
      <c r="C34" s="88">
        <f t="shared" si="1"/>
        <v>775</v>
      </c>
      <c r="D34" s="89" t="s">
        <v>114</v>
      </c>
      <c r="E34" s="81" t="s">
        <v>111</v>
      </c>
    </row>
    <row r="35" spans="1:12" x14ac:dyDescent="0.25">
      <c r="A35" s="86">
        <v>32</v>
      </c>
      <c r="B35" s="87">
        <f t="shared" si="0"/>
        <v>1.792</v>
      </c>
      <c r="C35" s="88">
        <f t="shared" si="1"/>
        <v>800</v>
      </c>
      <c r="D35" s="89" t="s">
        <v>114</v>
      </c>
      <c r="E35" s="81" t="s">
        <v>111</v>
      </c>
    </row>
    <row r="36" spans="1:12" x14ac:dyDescent="0.25">
      <c r="A36" s="86">
        <v>33</v>
      </c>
      <c r="B36" s="87">
        <f t="shared" si="0"/>
        <v>1.8480000000000001</v>
      </c>
      <c r="C36" s="88">
        <f t="shared" si="1"/>
        <v>825</v>
      </c>
      <c r="D36" s="89" t="s">
        <v>114</v>
      </c>
      <c r="E36" s="81" t="s">
        <v>111</v>
      </c>
    </row>
    <row r="37" spans="1:12" x14ac:dyDescent="0.25">
      <c r="A37" s="86">
        <v>34</v>
      </c>
      <c r="B37" s="87">
        <f t="shared" si="0"/>
        <v>1.9040000000000001</v>
      </c>
      <c r="C37" s="88">
        <f t="shared" si="1"/>
        <v>850</v>
      </c>
      <c r="D37" s="89" t="s">
        <v>114</v>
      </c>
      <c r="E37" s="81" t="s">
        <v>111</v>
      </c>
      <c r="F37" s="13" t="s">
        <v>132</v>
      </c>
    </row>
    <row r="38" spans="1:12" x14ac:dyDescent="0.25">
      <c r="A38" s="86">
        <v>35</v>
      </c>
      <c r="B38" s="87">
        <f t="shared" si="0"/>
        <v>1.96</v>
      </c>
      <c r="C38" s="88">
        <f t="shared" si="1"/>
        <v>875</v>
      </c>
      <c r="D38" s="89" t="s">
        <v>114</v>
      </c>
      <c r="E38" s="81" t="s">
        <v>111</v>
      </c>
    </row>
    <row r="39" spans="1:12" x14ac:dyDescent="0.25">
      <c r="A39" s="86">
        <v>36</v>
      </c>
      <c r="B39" s="87">
        <f t="shared" si="0"/>
        <v>2.016</v>
      </c>
      <c r="C39" s="88">
        <f t="shared" si="1"/>
        <v>900</v>
      </c>
      <c r="D39" s="89" t="s">
        <v>114</v>
      </c>
      <c r="E39" s="81" t="s">
        <v>111</v>
      </c>
    </row>
    <row r="40" spans="1:12" x14ac:dyDescent="0.25">
      <c r="A40" s="86">
        <v>37</v>
      </c>
      <c r="B40" s="87">
        <f t="shared" si="0"/>
        <v>2.0720000000000001</v>
      </c>
      <c r="C40" s="88">
        <f t="shared" si="1"/>
        <v>925</v>
      </c>
      <c r="D40" s="89" t="s">
        <v>115</v>
      </c>
      <c r="E40" s="81" t="s">
        <v>112</v>
      </c>
    </row>
    <row r="41" spans="1:12" x14ac:dyDescent="0.25">
      <c r="A41" s="86">
        <v>38</v>
      </c>
      <c r="B41" s="87">
        <f t="shared" si="0"/>
        <v>2.1280000000000001</v>
      </c>
      <c r="C41" s="88">
        <f t="shared" si="1"/>
        <v>950</v>
      </c>
      <c r="D41" s="89" t="s">
        <v>115</v>
      </c>
      <c r="E41" s="81" t="s">
        <v>112</v>
      </c>
    </row>
    <row r="42" spans="1:12" x14ac:dyDescent="0.25">
      <c r="A42" s="86">
        <v>39</v>
      </c>
      <c r="B42" s="87">
        <f t="shared" si="0"/>
        <v>2.1840000000000002</v>
      </c>
      <c r="C42" s="88">
        <f t="shared" si="1"/>
        <v>975</v>
      </c>
      <c r="D42" s="89" t="s">
        <v>115</v>
      </c>
      <c r="E42" s="81" t="s">
        <v>112</v>
      </c>
      <c r="H42" s="63"/>
      <c r="I42" s="63"/>
      <c r="K42" s="63"/>
      <c r="L42" s="63"/>
    </row>
    <row r="43" spans="1:12" ht="13.5" customHeight="1" x14ac:dyDescent="0.25">
      <c r="A43" s="86">
        <v>40</v>
      </c>
      <c r="B43" s="87">
        <f t="shared" si="0"/>
        <v>2.2400000000000002</v>
      </c>
      <c r="C43" s="88">
        <f t="shared" si="1"/>
        <v>1000</v>
      </c>
      <c r="D43" s="89" t="s">
        <v>115</v>
      </c>
      <c r="E43" s="81" t="s">
        <v>112</v>
      </c>
    </row>
    <row r="44" spans="1:12" x14ac:dyDescent="0.25">
      <c r="A44" s="86">
        <v>41</v>
      </c>
      <c r="B44" s="87">
        <f t="shared" si="0"/>
        <v>2.2960000000000003</v>
      </c>
      <c r="C44" s="88">
        <f t="shared" si="1"/>
        <v>1025</v>
      </c>
      <c r="D44" s="89" t="s">
        <v>115</v>
      </c>
      <c r="E44" s="81" t="s">
        <v>112</v>
      </c>
    </row>
    <row r="45" spans="1:12" x14ac:dyDescent="0.25">
      <c r="A45" s="86">
        <v>42</v>
      </c>
      <c r="B45" s="87">
        <f t="shared" si="0"/>
        <v>2.3519999999999999</v>
      </c>
      <c r="C45" s="88">
        <f t="shared" si="1"/>
        <v>1050</v>
      </c>
      <c r="D45" s="89" t="s">
        <v>115</v>
      </c>
      <c r="E45" s="81" t="s">
        <v>112</v>
      </c>
    </row>
    <row r="46" spans="1:12" x14ac:dyDescent="0.25">
      <c r="A46" s="86">
        <v>43</v>
      </c>
      <c r="B46" s="87">
        <f t="shared" si="0"/>
        <v>2.4079999999999999</v>
      </c>
      <c r="C46" s="88">
        <f t="shared" si="1"/>
        <v>1075</v>
      </c>
      <c r="D46" s="89" t="s">
        <v>115</v>
      </c>
      <c r="E46" s="81" t="s">
        <v>112</v>
      </c>
    </row>
    <row r="47" spans="1:12" x14ac:dyDescent="0.25">
      <c r="A47" s="86">
        <v>44</v>
      </c>
      <c r="B47" s="87">
        <f t="shared" si="0"/>
        <v>2.464</v>
      </c>
      <c r="C47" s="88">
        <f t="shared" si="1"/>
        <v>1100</v>
      </c>
      <c r="D47" s="89" t="s">
        <v>115</v>
      </c>
      <c r="E47" s="81" t="s">
        <v>112</v>
      </c>
    </row>
    <row r="48" spans="1:12" x14ac:dyDescent="0.25">
      <c r="A48" s="86">
        <v>45</v>
      </c>
      <c r="B48" s="87">
        <f t="shared" si="0"/>
        <v>2.52</v>
      </c>
      <c r="C48" s="88">
        <f t="shared" si="1"/>
        <v>1125</v>
      </c>
      <c r="D48" s="89" t="s">
        <v>115</v>
      </c>
      <c r="E48" s="81" t="s">
        <v>112</v>
      </c>
    </row>
    <row r="49" spans="1:5" x14ac:dyDescent="0.25">
      <c r="A49" s="86">
        <v>46</v>
      </c>
      <c r="B49" s="87">
        <f t="shared" si="0"/>
        <v>2.5760000000000001</v>
      </c>
      <c r="C49" s="88">
        <f t="shared" si="1"/>
        <v>1150</v>
      </c>
      <c r="D49" s="89" t="s">
        <v>115</v>
      </c>
      <c r="E49" s="81" t="s">
        <v>112</v>
      </c>
    </row>
    <row r="50" spans="1:5" x14ac:dyDescent="0.25">
      <c r="A50" s="86">
        <v>47</v>
      </c>
      <c r="B50" s="87">
        <f t="shared" si="0"/>
        <v>2.6320000000000001</v>
      </c>
      <c r="C50" s="88">
        <f t="shared" si="1"/>
        <v>1175</v>
      </c>
      <c r="D50" s="89" t="s">
        <v>115</v>
      </c>
      <c r="E50" s="81" t="s">
        <v>112</v>
      </c>
    </row>
    <row r="51" spans="1:5" x14ac:dyDescent="0.25">
      <c r="A51" s="86">
        <v>48</v>
      </c>
      <c r="B51" s="87">
        <f t="shared" si="0"/>
        <v>2.6880000000000002</v>
      </c>
      <c r="C51" s="88">
        <f t="shared" si="1"/>
        <v>1200</v>
      </c>
      <c r="D51" s="89" t="s">
        <v>115</v>
      </c>
      <c r="E51" s="81" t="s">
        <v>112</v>
      </c>
    </row>
    <row r="52" spans="1:5" x14ac:dyDescent="0.25">
      <c r="A52" s="86">
        <v>49</v>
      </c>
      <c r="B52" s="87">
        <f t="shared" si="0"/>
        <v>2.7440000000000002</v>
      </c>
      <c r="C52" s="88">
        <f t="shared" si="1"/>
        <v>1225</v>
      </c>
      <c r="D52" s="89" t="s">
        <v>115</v>
      </c>
      <c r="E52" s="81" t="s">
        <v>112</v>
      </c>
    </row>
    <row r="53" spans="1:5" x14ac:dyDescent="0.25">
      <c r="A53" s="86">
        <v>50</v>
      </c>
      <c r="B53" s="87">
        <f t="shared" si="0"/>
        <v>2.8000000000000003</v>
      </c>
      <c r="C53" s="88">
        <f t="shared" si="1"/>
        <v>1250</v>
      </c>
      <c r="D53" s="89" t="s">
        <v>115</v>
      </c>
      <c r="E53" s="81" t="s">
        <v>112</v>
      </c>
    </row>
    <row r="54" spans="1:5" x14ac:dyDescent="0.25">
      <c r="A54" s="86">
        <v>51</v>
      </c>
      <c r="B54" s="87">
        <f t="shared" si="0"/>
        <v>2.8559999999999999</v>
      </c>
      <c r="C54" s="88">
        <f t="shared" si="1"/>
        <v>1275</v>
      </c>
      <c r="D54" s="89" t="s">
        <v>115</v>
      </c>
      <c r="E54" s="81" t="s">
        <v>112</v>
      </c>
    </row>
    <row r="55" spans="1:5" x14ac:dyDescent="0.25">
      <c r="A55" s="86">
        <v>52</v>
      </c>
      <c r="B55" s="87">
        <f t="shared" si="0"/>
        <v>2.9119999999999999</v>
      </c>
      <c r="C55" s="88">
        <f t="shared" si="1"/>
        <v>1300</v>
      </c>
      <c r="D55" s="89" t="s">
        <v>115</v>
      </c>
      <c r="E55" s="81" t="s">
        <v>112</v>
      </c>
    </row>
    <row r="56" spans="1:5" x14ac:dyDescent="0.25">
      <c r="A56" s="86">
        <v>53</v>
      </c>
      <c r="B56" s="87">
        <f t="shared" si="0"/>
        <v>2.968</v>
      </c>
      <c r="C56" s="88">
        <f t="shared" si="1"/>
        <v>1325</v>
      </c>
      <c r="D56" s="89" t="s">
        <v>115</v>
      </c>
      <c r="E56" s="81" t="s">
        <v>112</v>
      </c>
    </row>
    <row r="57" spans="1:5" x14ac:dyDescent="0.25">
      <c r="A57" s="91">
        <v>54</v>
      </c>
      <c r="B57" s="92">
        <f t="shared" si="0"/>
        <v>3.024</v>
      </c>
      <c r="C57" s="93">
        <f t="shared" si="1"/>
        <v>1350</v>
      </c>
      <c r="D57" s="94" t="s">
        <v>115</v>
      </c>
      <c r="E57" s="95" t="s">
        <v>112</v>
      </c>
    </row>
    <row r="58" spans="1:5" x14ac:dyDescent="0.25">
      <c r="A58" s="68" t="s">
        <v>117</v>
      </c>
      <c r="B58" s="69" t="s">
        <v>118</v>
      </c>
      <c r="C58" s="69" t="s">
        <v>118</v>
      </c>
      <c r="D58" s="68" t="s">
        <v>116</v>
      </c>
      <c r="E58" s="68"/>
    </row>
    <row r="59" spans="1:5" x14ac:dyDescent="0.25">
      <c r="B59" s="66"/>
      <c r="D59" s="68"/>
      <c r="E59" s="68"/>
    </row>
    <row r="60" spans="1:5" x14ac:dyDescent="0.25">
      <c r="A60" s="68" t="s">
        <v>121</v>
      </c>
      <c r="B60" s="71" t="s">
        <v>120</v>
      </c>
      <c r="D60" s="68"/>
    </row>
    <row r="61" spans="1:5" x14ac:dyDescent="0.25">
      <c r="A61" s="68" t="s">
        <v>125</v>
      </c>
      <c r="B61" s="74" t="s">
        <v>126</v>
      </c>
      <c r="D61" s="68"/>
    </row>
    <row r="62" spans="1:5" x14ac:dyDescent="0.25">
      <c r="A62" s="72" t="s">
        <v>123</v>
      </c>
      <c r="B62" s="66"/>
      <c r="D62" s="68"/>
    </row>
    <row r="63" spans="1:5" x14ac:dyDescent="0.25">
      <c r="B63" s="66"/>
      <c r="D63" s="68"/>
    </row>
    <row r="64" spans="1:5" x14ac:dyDescent="0.25">
      <c r="B64" s="66"/>
      <c r="D64" s="68"/>
    </row>
    <row r="65" spans="2:4" x14ac:dyDescent="0.25">
      <c r="B65" s="66"/>
      <c r="D65" s="68"/>
    </row>
    <row r="66" spans="2:4" x14ac:dyDescent="0.25">
      <c r="B66" s="66"/>
      <c r="D66" s="68"/>
    </row>
    <row r="67" spans="2:4" x14ac:dyDescent="0.25">
      <c r="B67" s="66"/>
      <c r="D67" s="68"/>
    </row>
    <row r="68" spans="2:4" x14ac:dyDescent="0.25">
      <c r="B68" s="66"/>
      <c r="D68" s="68"/>
    </row>
    <row r="69" spans="2:4" x14ac:dyDescent="0.25">
      <c r="B69" s="66"/>
      <c r="D69" s="68"/>
    </row>
    <row r="70" spans="2:4" x14ac:dyDescent="0.25">
      <c r="B70" s="66"/>
      <c r="D70" s="68"/>
    </row>
    <row r="71" spans="2:4" x14ac:dyDescent="0.25">
      <c r="B71" s="66"/>
      <c r="D71" s="68"/>
    </row>
    <row r="72" spans="2:4" x14ac:dyDescent="0.25">
      <c r="B72" s="66"/>
      <c r="D72" s="68"/>
    </row>
    <row r="73" spans="2:4" x14ac:dyDescent="0.25">
      <c r="B73" s="66"/>
      <c r="D73" s="68"/>
    </row>
    <row r="74" spans="2:4" x14ac:dyDescent="0.25">
      <c r="B74" s="66"/>
      <c r="D74" s="68"/>
    </row>
    <row r="75" spans="2:4" x14ac:dyDescent="0.25">
      <c r="B75" s="66"/>
      <c r="D75" s="68"/>
    </row>
    <row r="76" spans="2:4" x14ac:dyDescent="0.25">
      <c r="B76" s="66"/>
      <c r="D76" s="68"/>
    </row>
    <row r="77" spans="2:4" x14ac:dyDescent="0.25">
      <c r="B77" s="66"/>
      <c r="D77" s="68"/>
    </row>
    <row r="78" spans="2:4" x14ac:dyDescent="0.25">
      <c r="B78" s="66"/>
      <c r="D78" s="68"/>
    </row>
    <row r="79" spans="2:4" x14ac:dyDescent="0.25">
      <c r="B79" s="66"/>
      <c r="D79" s="68"/>
    </row>
    <row r="80" spans="2:4" x14ac:dyDescent="0.25">
      <c r="B80" s="66"/>
      <c r="D80" s="68"/>
    </row>
    <row r="81" spans="2:4" x14ac:dyDescent="0.25">
      <c r="B81" s="66"/>
      <c r="D81" s="68"/>
    </row>
    <row r="82" spans="2:4" x14ac:dyDescent="0.25">
      <c r="B82" s="66"/>
      <c r="D82" s="68"/>
    </row>
    <row r="83" spans="2:4" x14ac:dyDescent="0.25">
      <c r="B83" s="66"/>
      <c r="D83" s="68"/>
    </row>
    <row r="84" spans="2:4" x14ac:dyDescent="0.25">
      <c r="B84" s="66"/>
      <c r="D84" s="68"/>
    </row>
    <row r="85" spans="2:4" x14ac:dyDescent="0.25">
      <c r="B85" s="66"/>
      <c r="D85" s="68"/>
    </row>
    <row r="86" spans="2:4" x14ac:dyDescent="0.25">
      <c r="B86" s="66"/>
      <c r="D86" s="68"/>
    </row>
    <row r="87" spans="2:4" x14ac:dyDescent="0.25">
      <c r="B87" s="66"/>
      <c r="D87" s="68"/>
    </row>
    <row r="88" spans="2:4" x14ac:dyDescent="0.25">
      <c r="B88" s="66"/>
      <c r="D88" s="68"/>
    </row>
    <row r="89" spans="2:4" x14ac:dyDescent="0.25">
      <c r="B89" s="66"/>
      <c r="D89" s="68"/>
    </row>
    <row r="90" spans="2:4" x14ac:dyDescent="0.25">
      <c r="B90" s="66"/>
      <c r="D90" s="68"/>
    </row>
    <row r="91" spans="2:4" x14ac:dyDescent="0.25">
      <c r="B91" s="66"/>
      <c r="D91" s="68"/>
    </row>
    <row r="92" spans="2:4" x14ac:dyDescent="0.25">
      <c r="B92" s="66"/>
      <c r="D92" s="68"/>
    </row>
    <row r="93" spans="2:4" x14ac:dyDescent="0.25">
      <c r="B93" s="66"/>
      <c r="D93" s="68"/>
    </row>
    <row r="94" spans="2:4" x14ac:dyDescent="0.25">
      <c r="B94" s="66"/>
      <c r="D94" s="68"/>
    </row>
    <row r="95" spans="2:4" x14ac:dyDescent="0.25">
      <c r="B95" s="66"/>
      <c r="D95" s="68"/>
    </row>
    <row r="96" spans="2:4" x14ac:dyDescent="0.25">
      <c r="B96" s="66"/>
      <c r="D96" s="68"/>
    </row>
    <row r="97" spans="2:4" x14ac:dyDescent="0.25">
      <c r="B97" s="66"/>
      <c r="D97" s="68"/>
    </row>
    <row r="98" spans="2:4" x14ac:dyDescent="0.25">
      <c r="B98" s="66"/>
      <c r="D98" s="68"/>
    </row>
    <row r="99" spans="2:4" x14ac:dyDescent="0.25">
      <c r="B99" s="66"/>
      <c r="D99" s="68"/>
    </row>
    <row r="100" spans="2:4" x14ac:dyDescent="0.25">
      <c r="B100" s="66"/>
      <c r="D100" s="68"/>
    </row>
    <row r="101" spans="2:4" x14ac:dyDescent="0.25">
      <c r="B101" s="66"/>
      <c r="D101" s="68"/>
    </row>
    <row r="102" spans="2:4" x14ac:dyDescent="0.25">
      <c r="B102" s="66"/>
      <c r="D102" s="68"/>
    </row>
    <row r="103" spans="2:4" x14ac:dyDescent="0.25">
      <c r="B103" s="66"/>
      <c r="D103" s="68"/>
    </row>
    <row r="104" spans="2:4" x14ac:dyDescent="0.25">
      <c r="B104" s="66"/>
      <c r="D104" s="68"/>
    </row>
    <row r="105" spans="2:4" x14ac:dyDescent="0.25">
      <c r="B105" s="66"/>
      <c r="D105" s="68"/>
    </row>
    <row r="106" spans="2:4" x14ac:dyDescent="0.25">
      <c r="B106" s="66"/>
      <c r="D106" s="68"/>
    </row>
    <row r="107" spans="2:4" x14ac:dyDescent="0.25">
      <c r="B107" s="66"/>
      <c r="D107" s="68"/>
    </row>
    <row r="108" spans="2:4" x14ac:dyDescent="0.25">
      <c r="B108" s="66"/>
      <c r="D108" s="68"/>
    </row>
    <row r="109" spans="2:4" x14ac:dyDescent="0.25">
      <c r="B109" s="66"/>
      <c r="D109" s="68"/>
    </row>
    <row r="110" spans="2:4" x14ac:dyDescent="0.25">
      <c r="B110" s="66"/>
      <c r="D110" s="68"/>
    </row>
    <row r="111" spans="2:4" x14ac:dyDescent="0.25">
      <c r="B111" s="66"/>
      <c r="D111" s="68"/>
    </row>
    <row r="112" spans="2:4" x14ac:dyDescent="0.25">
      <c r="B112" s="66"/>
      <c r="D112" s="68"/>
    </row>
    <row r="113" spans="2:4" x14ac:dyDescent="0.25">
      <c r="B113" s="66"/>
      <c r="D113" s="68"/>
    </row>
    <row r="114" spans="2:4" x14ac:dyDescent="0.25">
      <c r="B114" s="66"/>
      <c r="D114" s="68"/>
    </row>
    <row r="115" spans="2:4" x14ac:dyDescent="0.25">
      <c r="B115" s="66"/>
      <c r="D115" s="68"/>
    </row>
    <row r="116" spans="2:4" x14ac:dyDescent="0.25">
      <c r="B116" s="66"/>
      <c r="D116" s="68"/>
    </row>
    <row r="117" spans="2:4" x14ac:dyDescent="0.25">
      <c r="B117" s="66"/>
      <c r="D117" s="68"/>
    </row>
    <row r="118" spans="2:4" x14ac:dyDescent="0.25">
      <c r="B118" s="66"/>
      <c r="D118" s="68"/>
    </row>
    <row r="119" spans="2:4" x14ac:dyDescent="0.25">
      <c r="B119" s="66"/>
      <c r="D119" s="68"/>
    </row>
    <row r="120" spans="2:4" x14ac:dyDescent="0.25">
      <c r="B120" s="66"/>
      <c r="D120" s="68"/>
    </row>
    <row r="121" spans="2:4" x14ac:dyDescent="0.25">
      <c r="B121" s="66"/>
      <c r="D121" s="68"/>
    </row>
    <row r="122" spans="2:4" x14ac:dyDescent="0.25">
      <c r="B122" s="66"/>
      <c r="D122" s="68"/>
    </row>
    <row r="123" spans="2:4" x14ac:dyDescent="0.25">
      <c r="B123" s="66"/>
      <c r="D123" s="68"/>
    </row>
    <row r="124" spans="2:4" x14ac:dyDescent="0.25">
      <c r="B124" s="66"/>
      <c r="D124" s="68"/>
    </row>
    <row r="125" spans="2:4" x14ac:dyDescent="0.25">
      <c r="B125" s="66"/>
      <c r="D125" s="68"/>
    </row>
    <row r="126" spans="2:4" x14ac:dyDescent="0.25">
      <c r="B126" s="66"/>
      <c r="D126" s="68"/>
    </row>
    <row r="127" spans="2:4" x14ac:dyDescent="0.25">
      <c r="B127" s="66"/>
      <c r="D127" s="68"/>
    </row>
    <row r="128" spans="2:4" x14ac:dyDescent="0.25">
      <c r="B128" s="66"/>
      <c r="D128" s="68"/>
    </row>
    <row r="129" spans="2:4" x14ac:dyDescent="0.25">
      <c r="B129" s="66"/>
      <c r="D129" s="68"/>
    </row>
    <row r="130" spans="2:4" x14ac:dyDescent="0.25">
      <c r="B130" s="66"/>
      <c r="D130" s="68"/>
    </row>
    <row r="131" spans="2:4" x14ac:dyDescent="0.25">
      <c r="B131" s="66"/>
      <c r="D131" s="68"/>
    </row>
    <row r="132" spans="2:4" x14ac:dyDescent="0.25">
      <c r="B132" s="66"/>
      <c r="D132" s="68"/>
    </row>
    <row r="133" spans="2:4" x14ac:dyDescent="0.25">
      <c r="B133" s="66"/>
      <c r="D133" s="68"/>
    </row>
    <row r="134" spans="2:4" x14ac:dyDescent="0.25">
      <c r="B134" s="66"/>
      <c r="D134" s="68"/>
    </row>
    <row r="135" spans="2:4" x14ac:dyDescent="0.25">
      <c r="B135" s="66"/>
      <c r="D135" s="68"/>
    </row>
    <row r="136" spans="2:4" x14ac:dyDescent="0.25">
      <c r="B136" s="66"/>
      <c r="D136" s="68"/>
    </row>
    <row r="137" spans="2:4" x14ac:dyDescent="0.25">
      <c r="B137" s="66"/>
      <c r="D137" s="68"/>
    </row>
    <row r="138" spans="2:4" x14ac:dyDescent="0.25">
      <c r="B138" s="66"/>
      <c r="D138" s="68"/>
    </row>
    <row r="139" spans="2:4" x14ac:dyDescent="0.25">
      <c r="B139" s="66"/>
      <c r="D139" s="68"/>
    </row>
    <row r="140" spans="2:4" x14ac:dyDescent="0.25">
      <c r="B140" s="66"/>
      <c r="D140" s="68"/>
    </row>
    <row r="141" spans="2:4" x14ac:dyDescent="0.25">
      <c r="B141" s="66"/>
      <c r="D141" s="68"/>
    </row>
    <row r="142" spans="2:4" x14ac:dyDescent="0.25">
      <c r="B142" s="66"/>
      <c r="D142" s="68"/>
    </row>
    <row r="143" spans="2:4" x14ac:dyDescent="0.25">
      <c r="B143" s="66"/>
      <c r="D143" s="68"/>
    </row>
    <row r="144" spans="2:4" x14ac:dyDescent="0.25">
      <c r="B144" s="66"/>
      <c r="D144" s="68"/>
    </row>
    <row r="145" spans="2:4" x14ac:dyDescent="0.25">
      <c r="B145" s="66"/>
      <c r="D145" s="68"/>
    </row>
    <row r="146" spans="2:4" x14ac:dyDescent="0.25">
      <c r="B146" s="66"/>
      <c r="D146" s="68"/>
    </row>
    <row r="147" spans="2:4" x14ac:dyDescent="0.25">
      <c r="B147" s="66"/>
      <c r="D147" s="68"/>
    </row>
    <row r="148" spans="2:4" x14ac:dyDescent="0.25">
      <c r="B148" s="66"/>
      <c r="D148" s="68"/>
    </row>
    <row r="149" spans="2:4" x14ac:dyDescent="0.25">
      <c r="B149" s="66"/>
      <c r="D149" s="68"/>
    </row>
    <row r="150" spans="2:4" x14ac:dyDescent="0.25">
      <c r="B150" s="66"/>
      <c r="D150" s="68"/>
    </row>
    <row r="151" spans="2:4" x14ac:dyDescent="0.25">
      <c r="B151" s="66"/>
      <c r="D151" s="68"/>
    </row>
    <row r="152" spans="2:4" x14ac:dyDescent="0.25">
      <c r="B152" s="66"/>
      <c r="D152" s="68"/>
    </row>
    <row r="153" spans="2:4" x14ac:dyDescent="0.25">
      <c r="B153" s="66"/>
      <c r="D153" s="68"/>
    </row>
    <row r="154" spans="2:4" x14ac:dyDescent="0.25">
      <c r="B154" s="66"/>
      <c r="D154" s="68"/>
    </row>
    <row r="155" spans="2:4" x14ac:dyDescent="0.25">
      <c r="B155" s="66"/>
      <c r="D155" s="68"/>
    </row>
    <row r="156" spans="2:4" x14ac:dyDescent="0.25">
      <c r="B156" s="66"/>
      <c r="D156" s="68"/>
    </row>
    <row r="157" spans="2:4" x14ac:dyDescent="0.25">
      <c r="B157" s="66"/>
      <c r="D157" s="68"/>
    </row>
    <row r="158" spans="2:4" x14ac:dyDescent="0.25">
      <c r="B158" s="66"/>
      <c r="D158" s="68"/>
    </row>
    <row r="159" spans="2:4" x14ac:dyDescent="0.25">
      <c r="B159" s="66"/>
      <c r="D159" s="68"/>
    </row>
    <row r="160" spans="2:4" x14ac:dyDescent="0.25">
      <c r="B160" s="66"/>
      <c r="D160" s="68"/>
    </row>
    <row r="161" spans="2:4" x14ac:dyDescent="0.25">
      <c r="B161" s="66"/>
      <c r="D161" s="68"/>
    </row>
    <row r="162" spans="2:4" x14ac:dyDescent="0.25">
      <c r="B162" s="66"/>
      <c r="D162" s="68"/>
    </row>
    <row r="163" spans="2:4" x14ac:dyDescent="0.25">
      <c r="B163" s="66"/>
      <c r="D163" s="68"/>
    </row>
    <row r="164" spans="2:4" x14ac:dyDescent="0.25">
      <c r="B164" s="66"/>
      <c r="D164" s="68"/>
    </row>
    <row r="165" spans="2:4" x14ac:dyDescent="0.25">
      <c r="B165" s="66"/>
      <c r="D165" s="68"/>
    </row>
    <row r="166" spans="2:4" x14ac:dyDescent="0.25">
      <c r="B166" s="66"/>
      <c r="D166" s="68"/>
    </row>
    <row r="167" spans="2:4" x14ac:dyDescent="0.25">
      <c r="B167" s="66"/>
      <c r="D167" s="68"/>
    </row>
    <row r="168" spans="2:4" x14ac:dyDescent="0.25">
      <c r="B168" s="66"/>
      <c r="D168" s="68"/>
    </row>
    <row r="169" spans="2:4" x14ac:dyDescent="0.25">
      <c r="B169" s="66"/>
      <c r="D169" s="68"/>
    </row>
    <row r="170" spans="2:4" x14ac:dyDescent="0.25">
      <c r="B170" s="66"/>
      <c r="D170" s="68"/>
    </row>
    <row r="171" spans="2:4" x14ac:dyDescent="0.25">
      <c r="B171" s="66"/>
      <c r="D171" s="68"/>
    </row>
    <row r="172" spans="2:4" x14ac:dyDescent="0.25">
      <c r="B172" s="66"/>
      <c r="D172" s="68"/>
    </row>
    <row r="173" spans="2:4" x14ac:dyDescent="0.25">
      <c r="B173" s="66"/>
      <c r="D173" s="68"/>
    </row>
    <row r="174" spans="2:4" x14ac:dyDescent="0.25">
      <c r="B174" s="66"/>
      <c r="D174" s="68"/>
    </row>
    <row r="175" spans="2:4" x14ac:dyDescent="0.25">
      <c r="B175" s="66"/>
      <c r="D175" s="68"/>
    </row>
    <row r="176" spans="2:4" x14ac:dyDescent="0.25">
      <c r="B176" s="66"/>
      <c r="D176" s="68"/>
    </row>
    <row r="177" spans="2:4" x14ac:dyDescent="0.25">
      <c r="B177" s="66"/>
      <c r="D177" s="68"/>
    </row>
    <row r="178" spans="2:4" x14ac:dyDescent="0.25">
      <c r="B178" s="66"/>
      <c r="D178" s="68"/>
    </row>
    <row r="179" spans="2:4" x14ac:dyDescent="0.25">
      <c r="B179" s="66"/>
      <c r="D179" s="68"/>
    </row>
    <row r="180" spans="2:4" x14ac:dyDescent="0.25">
      <c r="B180" s="66"/>
      <c r="D180" s="68"/>
    </row>
    <row r="181" spans="2:4" x14ac:dyDescent="0.25">
      <c r="B181" s="66"/>
      <c r="D181" s="68"/>
    </row>
    <row r="182" spans="2:4" x14ac:dyDescent="0.25">
      <c r="B182" s="66"/>
      <c r="D182" s="68"/>
    </row>
    <row r="183" spans="2:4" x14ac:dyDescent="0.25">
      <c r="B183" s="66"/>
      <c r="D183" s="68"/>
    </row>
    <row r="184" spans="2:4" x14ac:dyDescent="0.25">
      <c r="B184" s="66"/>
      <c r="D184" s="68"/>
    </row>
    <row r="185" spans="2:4" x14ac:dyDescent="0.25">
      <c r="B185" s="66"/>
      <c r="D185" s="68"/>
    </row>
    <row r="186" spans="2:4" x14ac:dyDescent="0.25">
      <c r="B186" s="66"/>
      <c r="D186" s="68"/>
    </row>
    <row r="187" spans="2:4" x14ac:dyDescent="0.25">
      <c r="B187" s="66"/>
      <c r="D187" s="68"/>
    </row>
    <row r="188" spans="2:4" x14ac:dyDescent="0.25">
      <c r="B188" s="66"/>
      <c r="D188" s="68"/>
    </row>
    <row r="189" spans="2:4" x14ac:dyDescent="0.25">
      <c r="B189" s="66"/>
      <c r="D189" s="68"/>
    </row>
    <row r="190" spans="2:4" x14ac:dyDescent="0.25">
      <c r="B190" s="66"/>
      <c r="D190" s="68"/>
    </row>
    <row r="191" spans="2:4" x14ac:dyDescent="0.25">
      <c r="B191" s="66"/>
      <c r="D191" s="68"/>
    </row>
    <row r="192" spans="2:4" x14ac:dyDescent="0.25">
      <c r="B192" s="66"/>
      <c r="D192" s="68"/>
    </row>
    <row r="193" spans="2:4" x14ac:dyDescent="0.25">
      <c r="B193" s="66"/>
      <c r="D193" s="68"/>
    </row>
    <row r="194" spans="2:4" x14ac:dyDescent="0.25">
      <c r="B194" s="66"/>
      <c r="D194" s="68"/>
    </row>
    <row r="195" spans="2:4" x14ac:dyDescent="0.25">
      <c r="B195" s="66"/>
      <c r="D195" s="68"/>
    </row>
    <row r="196" spans="2:4" x14ac:dyDescent="0.25">
      <c r="B196" s="66"/>
      <c r="D196" s="68"/>
    </row>
    <row r="197" spans="2:4" x14ac:dyDescent="0.25">
      <c r="B197" s="66"/>
      <c r="D197" s="68"/>
    </row>
    <row r="198" spans="2:4" x14ac:dyDescent="0.25">
      <c r="B198" s="66"/>
      <c r="D198" s="68"/>
    </row>
    <row r="199" spans="2:4" x14ac:dyDescent="0.25">
      <c r="B199" s="66"/>
      <c r="D199" s="68"/>
    </row>
    <row r="200" spans="2:4" x14ac:dyDescent="0.25">
      <c r="B200" s="66"/>
      <c r="D200" s="68"/>
    </row>
    <row r="201" spans="2:4" x14ac:dyDescent="0.25">
      <c r="B201" s="66"/>
      <c r="D201" s="68"/>
    </row>
    <row r="202" spans="2:4" x14ac:dyDescent="0.25">
      <c r="B202" s="66"/>
      <c r="D202" s="68"/>
    </row>
    <row r="203" spans="2:4" x14ac:dyDescent="0.25">
      <c r="B203" s="66"/>
      <c r="D203" s="68"/>
    </row>
    <row r="204" spans="2:4" x14ac:dyDescent="0.25">
      <c r="B204" s="66"/>
      <c r="D204" s="68"/>
    </row>
    <row r="205" spans="2:4" x14ac:dyDescent="0.25">
      <c r="B205" s="66"/>
      <c r="D205" s="68"/>
    </row>
    <row r="206" spans="2:4" x14ac:dyDescent="0.25">
      <c r="B206" s="66"/>
      <c r="D206" s="68"/>
    </row>
    <row r="207" spans="2:4" x14ac:dyDescent="0.25">
      <c r="B207" s="66"/>
      <c r="D207" s="68"/>
    </row>
    <row r="208" spans="2:4" x14ac:dyDescent="0.25">
      <c r="B208" s="66"/>
      <c r="D208" s="68"/>
    </row>
    <row r="209" spans="2:2" x14ac:dyDescent="0.25">
      <c r="B209" s="66"/>
    </row>
    <row r="210" spans="2:2" x14ac:dyDescent="0.25">
      <c r="B210" s="66"/>
    </row>
  </sheetData>
  <sheetProtection algorithmName="SHA-512" hashValue="9xZ6/o790q6UyrcIT7L0HwqMNwkIB8lh/dRopP2Mw91GhLj7FS681rh3zL7gvOSdcABm/0TfB5UdDu5TMs3pKQ==" saltValue="cea8GnKWJZ9YZoeJt6T92w==" spinCount="100000" sheet="1" objects="1" scenarios="1"/>
  <mergeCells count="3">
    <mergeCell ref="A1:E1"/>
    <mergeCell ref="I23:T23"/>
    <mergeCell ref="I4:T4"/>
  </mergeCells>
  <phoneticPr fontId="0" type="noConversion"/>
  <hyperlinks>
    <hyperlink ref="B60" r:id="rId1" xr:uid="{74E1E71A-10A7-4370-8207-B74B9E38A38F}"/>
    <hyperlink ref="B61" r:id="rId2" xr:uid="{795C2791-BF30-4FE4-BB22-1EC37411BE5B}"/>
  </hyperlinks>
  <pageMargins left="0.75" right="0.75" top="1" bottom="1" header="0.5" footer="0.5"/>
  <pageSetup orientation="portrait" horizontalDpi="0" verticalDpi="0" r:id="rId3"/>
  <headerFooter alignWithMargins="0"/>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82C3ECA00EBA4DB7CCBB7766040B25" ma:contentTypeVersion="13" ma:contentTypeDescription="Create a new document." ma:contentTypeScope="" ma:versionID="3ab37b9e14a055d1c4aa3d32145a5604">
  <xsd:schema xmlns:xsd="http://www.w3.org/2001/XMLSchema" xmlns:xs="http://www.w3.org/2001/XMLSchema" xmlns:p="http://schemas.microsoft.com/office/2006/metadata/properties" xmlns:ns3="ebb9dbea-11d0-4f07-92cb-30ca20e7d0b9" xmlns:ns4="ec730b0c-3b53-4111-8a4c-8409e2c0ff08" targetNamespace="http://schemas.microsoft.com/office/2006/metadata/properties" ma:root="true" ma:fieldsID="9e8101f1d5ca302f1230134f18da353b" ns3:_="" ns4:_="">
    <xsd:import namespace="ebb9dbea-11d0-4f07-92cb-30ca20e7d0b9"/>
    <xsd:import namespace="ec730b0c-3b53-4111-8a4c-8409e2c0ff0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9dbea-11d0-4f07-92cb-30ca20e7d0b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730b0c-3b53-4111-8a4c-8409e2c0ff0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F7D8E7-B49C-488B-95AA-78DDFC51158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c730b0c-3b53-4111-8a4c-8409e2c0ff08"/>
    <ds:schemaRef ds:uri="http://schemas.microsoft.com/office/2006/documentManagement/types"/>
    <ds:schemaRef ds:uri="ebb9dbea-11d0-4f07-92cb-30ca20e7d0b9"/>
    <ds:schemaRef ds:uri="http://www.w3.org/XML/1998/namespace"/>
    <ds:schemaRef ds:uri="http://purl.org/dc/dcmitype/"/>
  </ds:schemaRefs>
</ds:datastoreItem>
</file>

<file path=customXml/itemProps2.xml><?xml version="1.0" encoding="utf-8"?>
<ds:datastoreItem xmlns:ds="http://schemas.openxmlformats.org/officeDocument/2006/customXml" ds:itemID="{C744A963-0113-4ABD-864D-479D5251F8C8}">
  <ds:schemaRefs>
    <ds:schemaRef ds:uri="http://schemas.microsoft.com/sharepoint/v3/contenttype/forms"/>
  </ds:schemaRefs>
</ds:datastoreItem>
</file>

<file path=customXml/itemProps3.xml><?xml version="1.0" encoding="utf-8"?>
<ds:datastoreItem xmlns:ds="http://schemas.openxmlformats.org/officeDocument/2006/customXml" ds:itemID="{C81FBDDA-983E-4379-80D3-2CE0843811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9dbea-11d0-4f07-92cb-30ca20e7d0b9"/>
    <ds:schemaRef ds:uri="ec730b0c-3b53-4111-8a4c-8409e2c0ff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Loading Calcs</vt:lpstr>
      <vt:lpstr>rainfall</vt:lpstr>
      <vt:lpstr>UpFloFilter</vt:lpstr>
      <vt:lpstr>BMP</vt:lpstr>
      <vt:lpstr>Location</vt:lpstr>
      <vt:lpstr>'Loading Calcs'!Print_Area</vt:lpstr>
      <vt:lpstr>Stormceptor</vt:lpstr>
      <vt:lpstr>Vortech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Phillip Taylor</dc:creator>
  <cp:lastModifiedBy>Bridget Domareki</cp:lastModifiedBy>
  <dcterms:created xsi:type="dcterms:W3CDTF">1601-01-01T00:00:00Z</dcterms:created>
  <dcterms:modified xsi:type="dcterms:W3CDTF">2021-02-12T16:22:18Z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0x0101004482C3ECA00EBA4DB7CCBB7766040B25</vt:lpwstr>
  </property>
</Properties>
</file>